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3774D33D-FDB6-44AF-9CEC-48F208E2EEA1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BASE!$G$8:$G$106</definedName>
    <definedName name="_xlnm._FilterDatabase" localSheetId="6" hidden="1">'SEG. PUBLICA'!$F$1:$F$52</definedName>
    <definedName name="_xlnm.Print_Area" localSheetId="5">'Apoyos '!$A$32:$AK$61</definedName>
    <definedName name="_xlnm.Print_Area" localSheetId="2">BASE!$B$1:$N$99</definedName>
    <definedName name="_xlnm.Print_Area" localSheetId="4">PENSIONADOS!$B$1:$AK$35</definedName>
    <definedName name="_xlnm.Print_Area" localSheetId="7">PROT.CIVIL!$B$2:$N$33</definedName>
    <definedName name="_xlnm.Print_Area" localSheetId="1">REGIDORES!$B$1:$O$25</definedName>
    <definedName name="_xlnm.Print_Area" localSheetId="6">'SEG. PUBLICA'!$B$1:$N$40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9" i="205" l="1"/>
  <c r="I34" i="216" l="1"/>
  <c r="K34" i="216" s="1"/>
  <c r="L34" i="216" s="1"/>
  <c r="I12" i="217"/>
  <c r="I17" i="206"/>
  <c r="J17" i="206" s="1"/>
  <c r="N41" i="206"/>
  <c r="I24" i="217"/>
  <c r="K40" i="206"/>
  <c r="L40" i="206" s="1"/>
  <c r="I40" i="206"/>
  <c r="I12" i="215"/>
  <c r="K12" i="215" s="1"/>
  <c r="M12" i="215" s="1"/>
  <c r="N12" i="215" s="1"/>
  <c r="J34" i="216" l="1"/>
  <c r="M34" i="216" s="1"/>
  <c r="K12" i="217"/>
  <c r="L12" i="217" s="1"/>
  <c r="K17" i="206"/>
  <c r="L17" i="206" s="1"/>
  <c r="M17" i="206" s="1"/>
  <c r="J40" i="206"/>
  <c r="M40" i="206" s="1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2" i="216"/>
  <c r="I23" i="216"/>
  <c r="I24" i="216"/>
  <c r="I25" i="216"/>
  <c r="I26" i="216"/>
  <c r="I27" i="216"/>
  <c r="I28" i="216"/>
  <c r="I29" i="216"/>
  <c r="I30" i="216"/>
  <c r="I31" i="216"/>
  <c r="I32" i="216"/>
  <c r="I33" i="216"/>
  <c r="I35" i="216"/>
  <c r="I36" i="216"/>
  <c r="I25" i="217"/>
  <c r="I26" i="217"/>
  <c r="I27" i="217"/>
  <c r="I28" i="217"/>
  <c r="I29" i="217"/>
  <c r="I17" i="214"/>
  <c r="I18" i="214"/>
  <c r="I19" i="214"/>
  <c r="I20" i="214"/>
  <c r="I21" i="214"/>
  <c r="I22" i="214"/>
  <c r="I16" i="214"/>
  <c r="I131" i="206"/>
  <c r="I132" i="206"/>
  <c r="I133" i="206"/>
  <c r="I130" i="206"/>
  <c r="I109" i="206"/>
  <c r="I110" i="206"/>
  <c r="I111" i="206"/>
  <c r="I112" i="206"/>
  <c r="I113" i="206"/>
  <c r="I114" i="206"/>
  <c r="I115" i="206"/>
  <c r="I116" i="206"/>
  <c r="I117" i="206"/>
  <c r="I118" i="206"/>
  <c r="I119" i="206"/>
  <c r="I55" i="206"/>
  <c r="I55" i="205"/>
  <c r="I52" i="205"/>
  <c r="I49" i="205"/>
  <c r="I48" i="205"/>
  <c r="I45" i="205"/>
  <c r="I44" i="205"/>
  <c r="I41" i="205"/>
  <c r="I40" i="205"/>
  <c r="I42" i="205" s="1"/>
  <c r="I35" i="205"/>
  <c r="I36" i="205"/>
  <c r="I37" i="205"/>
  <c r="I34" i="205"/>
  <c r="I31" i="205"/>
  <c r="I30" i="205"/>
  <c r="I24" i="205"/>
  <c r="I25" i="205"/>
  <c r="I26" i="205"/>
  <c r="I27" i="205"/>
  <c r="I23" i="205"/>
  <c r="I20" i="205"/>
  <c r="I19" i="205"/>
  <c r="I16" i="205"/>
  <c r="I13" i="205"/>
  <c r="I12" i="205"/>
  <c r="I11" i="205"/>
  <c r="I10" i="205"/>
  <c r="I32" i="205" l="1"/>
  <c r="M12" i="217"/>
  <c r="I134" i="206"/>
  <c r="I46" i="205"/>
  <c r="I21" i="205"/>
  <c r="I38" i="205"/>
  <c r="I50" i="205"/>
  <c r="I28" i="205"/>
  <c r="I9" i="205"/>
  <c r="I14" i="205" s="1"/>
  <c r="J13" i="205"/>
  <c r="K13" i="205" l="1"/>
  <c r="L13" i="205" s="1"/>
  <c r="M13" i="205" s="1"/>
  <c r="K9" i="205"/>
  <c r="J9" i="205"/>
  <c r="K25" i="217" l="1"/>
  <c r="K36" i="216"/>
  <c r="K17" i="216"/>
  <c r="K133" i="206"/>
  <c r="K132" i="206"/>
  <c r="K131" i="206"/>
  <c r="K130" i="206"/>
  <c r="K127" i="206"/>
  <c r="K126" i="206"/>
  <c r="K125" i="206"/>
  <c r="K123" i="206"/>
  <c r="K122" i="206"/>
  <c r="K119" i="206"/>
  <c r="K118" i="206"/>
  <c r="K117" i="206"/>
  <c r="K116" i="206"/>
  <c r="K115" i="206"/>
  <c r="K114" i="206"/>
  <c r="K113" i="206"/>
  <c r="K112" i="206"/>
  <c r="K111" i="206"/>
  <c r="K110" i="206"/>
  <c r="K109" i="206"/>
  <c r="K108" i="206"/>
  <c r="K107" i="206"/>
  <c r="K106" i="206"/>
  <c r="K103" i="206"/>
  <c r="K102" i="206"/>
  <c r="K101" i="206"/>
  <c r="K100" i="206"/>
  <c r="K99" i="206"/>
  <c r="K98" i="206"/>
  <c r="K97" i="206"/>
  <c r="K96" i="206"/>
  <c r="K95" i="206"/>
  <c r="K94" i="206"/>
  <c r="K92" i="206"/>
  <c r="K91" i="206"/>
  <c r="K90" i="206"/>
  <c r="K87" i="206"/>
  <c r="K86" i="206"/>
  <c r="K85" i="206"/>
  <c r="K84" i="206"/>
  <c r="K83" i="206"/>
  <c r="K82" i="206"/>
  <c r="K79" i="206"/>
  <c r="K75" i="206"/>
  <c r="K72" i="206"/>
  <c r="K71" i="206"/>
  <c r="K70" i="206"/>
  <c r="K69" i="206"/>
  <c r="K68" i="206"/>
  <c r="K67" i="206"/>
  <c r="K61" i="206"/>
  <c r="K60" i="206"/>
  <c r="K57" i="206"/>
  <c r="K56" i="206"/>
  <c r="K55" i="206"/>
  <c r="K54" i="206"/>
  <c r="K53" i="206"/>
  <c r="K52" i="206"/>
  <c r="K51" i="206"/>
  <c r="K50" i="206"/>
  <c r="K49" i="206"/>
  <c r="K48" i="206"/>
  <c r="K47" i="206"/>
  <c r="K46" i="206"/>
  <c r="K45" i="206"/>
  <c r="K44" i="206"/>
  <c r="K43" i="206"/>
  <c r="K39" i="206"/>
  <c r="K38" i="206"/>
  <c r="K37" i="206"/>
  <c r="K36" i="206"/>
  <c r="K32" i="206"/>
  <c r="K31" i="206"/>
  <c r="K30" i="206"/>
  <c r="K15" i="206"/>
  <c r="K14" i="206"/>
  <c r="K13" i="206"/>
  <c r="K12" i="206"/>
  <c r="K11" i="206"/>
  <c r="K10" i="205"/>
  <c r="K85" i="205"/>
  <c r="K84" i="205"/>
  <c r="K75" i="205"/>
  <c r="K71" i="205"/>
  <c r="K70" i="205"/>
  <c r="K62" i="205"/>
  <c r="K60" i="205"/>
  <c r="K55" i="205"/>
  <c r="K49" i="205"/>
  <c r="K45" i="205"/>
  <c r="K37" i="205"/>
  <c r="K35" i="205"/>
  <c r="K31" i="205"/>
  <c r="K27" i="205"/>
  <c r="K26" i="205"/>
  <c r="K25" i="205"/>
  <c r="K16" i="205"/>
  <c r="K12" i="205"/>
  <c r="K41" i="206" l="1"/>
  <c r="J10" i="205"/>
  <c r="L10" i="205"/>
  <c r="K29" i="217"/>
  <c r="L29" i="217" s="1"/>
  <c r="K27" i="217"/>
  <c r="K24" i="217"/>
  <c r="I23" i="217"/>
  <c r="K23" i="217" s="1"/>
  <c r="J22" i="217"/>
  <c r="I22" i="217"/>
  <c r="K22" i="217" s="1"/>
  <c r="L22" i="217" s="1"/>
  <c r="I21" i="217"/>
  <c r="I20" i="217"/>
  <c r="I19" i="217"/>
  <c r="K19" i="217" s="1"/>
  <c r="I18" i="217"/>
  <c r="I17" i="217"/>
  <c r="I16" i="217"/>
  <c r="K16" i="217" s="1"/>
  <c r="I15" i="217"/>
  <c r="K15" i="217" s="1"/>
  <c r="J14" i="217"/>
  <c r="I14" i="217"/>
  <c r="K14" i="217" s="1"/>
  <c r="L14" i="217" s="1"/>
  <c r="I13" i="217"/>
  <c r="I11" i="217"/>
  <c r="I10" i="217"/>
  <c r="K10" i="217" s="1"/>
  <c r="I9" i="217"/>
  <c r="I8" i="217"/>
  <c r="L36" i="216"/>
  <c r="J36" i="216"/>
  <c r="J17" i="216"/>
  <c r="I8" i="216"/>
  <c r="I38" i="216" s="1"/>
  <c r="K8" i="217" l="1"/>
  <c r="I31" i="217"/>
  <c r="J23" i="217"/>
  <c r="M23" i="217" s="1"/>
  <c r="K28" i="217"/>
  <c r="L28" i="217" s="1"/>
  <c r="K26" i="217"/>
  <c r="L26" i="217" s="1"/>
  <c r="J21" i="217"/>
  <c r="K21" i="217"/>
  <c r="L21" i="217" s="1"/>
  <c r="J13" i="217"/>
  <c r="K13" i="217"/>
  <c r="K18" i="217"/>
  <c r="L18" i="217" s="1"/>
  <c r="K20" i="217"/>
  <c r="L20" i="217" s="1"/>
  <c r="J15" i="217"/>
  <c r="K17" i="217"/>
  <c r="L17" i="217" s="1"/>
  <c r="K11" i="217"/>
  <c r="L11" i="217" s="1"/>
  <c r="K9" i="217"/>
  <c r="L9" i="217" s="1"/>
  <c r="J28" i="216"/>
  <c r="K28" i="216"/>
  <c r="L28" i="216" s="1"/>
  <c r="J30" i="216"/>
  <c r="K30" i="216"/>
  <c r="L30" i="216" s="1"/>
  <c r="M30" i="216" s="1"/>
  <c r="J31" i="216"/>
  <c r="K31" i="216"/>
  <c r="L31" i="216" s="1"/>
  <c r="J33" i="216"/>
  <c r="K33" i="216"/>
  <c r="L33" i="216" s="1"/>
  <c r="J29" i="216"/>
  <c r="K29" i="216"/>
  <c r="L29" i="216" s="1"/>
  <c r="J32" i="216"/>
  <c r="K32" i="216"/>
  <c r="L32" i="216" s="1"/>
  <c r="J35" i="216"/>
  <c r="K35" i="216"/>
  <c r="L35" i="216" s="1"/>
  <c r="J27" i="216"/>
  <c r="K27" i="216"/>
  <c r="L27" i="216" s="1"/>
  <c r="M27" i="216" s="1"/>
  <c r="J26" i="216"/>
  <c r="K26" i="216"/>
  <c r="L26" i="216" s="1"/>
  <c r="K25" i="216"/>
  <c r="J25" i="216"/>
  <c r="K24" i="216"/>
  <c r="L24" i="216" s="1"/>
  <c r="J24" i="216"/>
  <c r="K23" i="216"/>
  <c r="L23" i="216" s="1"/>
  <c r="J23" i="216"/>
  <c r="J22" i="216"/>
  <c r="K22" i="216"/>
  <c r="L22" i="216" s="1"/>
  <c r="K21" i="216"/>
  <c r="L21" i="216" s="1"/>
  <c r="J21" i="216"/>
  <c r="K20" i="216"/>
  <c r="L20" i="216" s="1"/>
  <c r="J20" i="216"/>
  <c r="K19" i="216"/>
  <c r="L19" i="216" s="1"/>
  <c r="J19" i="216"/>
  <c r="M19" i="216" s="1"/>
  <c r="J18" i="216"/>
  <c r="K18" i="216"/>
  <c r="L18" i="216" s="1"/>
  <c r="K16" i="216"/>
  <c r="L16" i="216" s="1"/>
  <c r="J16" i="216"/>
  <c r="K15" i="216"/>
  <c r="L15" i="216" s="1"/>
  <c r="M15" i="216" s="1"/>
  <c r="J15" i="216"/>
  <c r="K14" i="216"/>
  <c r="J14" i="216"/>
  <c r="J13" i="216"/>
  <c r="K13" i="216"/>
  <c r="L13" i="216" s="1"/>
  <c r="K12" i="216"/>
  <c r="L12" i="216" s="1"/>
  <c r="J12" i="216"/>
  <c r="J11" i="216"/>
  <c r="K11" i="216"/>
  <c r="L11" i="216" s="1"/>
  <c r="K10" i="216"/>
  <c r="L10" i="216" s="1"/>
  <c r="J10" i="216"/>
  <c r="K9" i="216"/>
  <c r="L9" i="216" s="1"/>
  <c r="J9" i="216"/>
  <c r="K8" i="216"/>
  <c r="L8" i="216" s="1"/>
  <c r="J8" i="216"/>
  <c r="M36" i="216"/>
  <c r="L14" i="216"/>
  <c r="M10" i="205"/>
  <c r="M8" i="217"/>
  <c r="L13" i="217"/>
  <c r="J17" i="217"/>
  <c r="M17" i="217" s="1"/>
  <c r="J26" i="217"/>
  <c r="M26" i="217" s="1"/>
  <c r="J18" i="217"/>
  <c r="M29" i="217"/>
  <c r="M14" i="217"/>
  <c r="M22" i="217"/>
  <c r="L15" i="217"/>
  <c r="M15" i="217"/>
  <c r="L23" i="217"/>
  <c r="L8" i="217"/>
  <c r="J27" i="217"/>
  <c r="L10" i="217"/>
  <c r="J16" i="217"/>
  <c r="L19" i="217"/>
  <c r="J24" i="217"/>
  <c r="L27" i="217"/>
  <c r="J19" i="217"/>
  <c r="L16" i="217"/>
  <c r="L24" i="217"/>
  <c r="J20" i="217"/>
  <c r="M21" i="216"/>
  <c r="L17" i="216"/>
  <c r="L25" i="216"/>
  <c r="L31" i="217" l="1"/>
  <c r="M28" i="217"/>
  <c r="M8" i="216"/>
  <c r="M20" i="217"/>
  <c r="M13" i="216"/>
  <c r="M18" i="216"/>
  <c r="M22" i="216"/>
  <c r="M26" i="216"/>
  <c r="M29" i="216"/>
  <c r="M28" i="216"/>
  <c r="K31" i="217"/>
  <c r="M11" i="216"/>
  <c r="M35" i="216"/>
  <c r="M9" i="217"/>
  <c r="M40" i="217" s="1"/>
  <c r="M18" i="217"/>
  <c r="M11" i="217"/>
  <c r="M14" i="216"/>
  <c r="M10" i="216"/>
  <c r="M12" i="216"/>
  <c r="M16" i="216"/>
  <c r="M20" i="216"/>
  <c r="M23" i="216"/>
  <c r="M32" i="216"/>
  <c r="M21" i="217"/>
  <c r="M13" i="217"/>
  <c r="M42" i="217" s="1"/>
  <c r="M16" i="217"/>
  <c r="M10" i="217"/>
  <c r="M27" i="217"/>
  <c r="M24" i="216"/>
  <c r="J31" i="217"/>
  <c r="M19" i="217"/>
  <c r="M33" i="216"/>
  <c r="M9" i="216"/>
  <c r="M25" i="216"/>
  <c r="M31" i="216"/>
  <c r="M17" i="216"/>
  <c r="M24" i="217"/>
  <c r="J38" i="216"/>
  <c r="L38" i="216"/>
  <c r="K38" i="216"/>
  <c r="M47" i="216" l="1"/>
  <c r="M49" i="216"/>
  <c r="M50" i="216" s="1"/>
  <c r="M43" i="217"/>
  <c r="M38" i="216"/>
  <c r="M31" i="217"/>
  <c r="M52" i="216" l="1"/>
  <c r="M45" i="217"/>
  <c r="E42" i="215"/>
  <c r="I9" i="206"/>
  <c r="J109" i="206"/>
  <c r="J111" i="206"/>
  <c r="K9" i="206" l="1"/>
  <c r="L9" i="206" s="1"/>
  <c r="J9" i="206"/>
  <c r="L127" i="206"/>
  <c r="I127" i="206"/>
  <c r="M9" i="206" l="1"/>
  <c r="J127" i="206"/>
  <c r="M127" i="206" s="1"/>
  <c r="O20" i="215" l="1"/>
  <c r="L20" i="215"/>
  <c r="I19" i="215"/>
  <c r="K19" i="215" s="1"/>
  <c r="I18" i="215"/>
  <c r="K18" i="215" s="1"/>
  <c r="I17" i="215"/>
  <c r="I16" i="215"/>
  <c r="I15" i="215"/>
  <c r="K15" i="215" s="1"/>
  <c r="I14" i="215"/>
  <c r="I13" i="215"/>
  <c r="I11" i="215"/>
  <c r="K11" i="215" s="1"/>
  <c r="I10" i="215"/>
  <c r="K10" i="215" s="1"/>
  <c r="L55" i="206"/>
  <c r="J55" i="206"/>
  <c r="I56" i="206"/>
  <c r="J56" i="206" s="1"/>
  <c r="K13" i="215" l="1"/>
  <c r="M13" i="215" s="1"/>
  <c r="N13" i="215" s="1"/>
  <c r="K17" i="215"/>
  <c r="M17" i="215" s="1"/>
  <c r="N17" i="215" s="1"/>
  <c r="K14" i="215"/>
  <c r="M14" i="215" s="1"/>
  <c r="N14" i="215" s="1"/>
  <c r="K16" i="215"/>
  <c r="M16" i="215" s="1"/>
  <c r="N16" i="215" s="1"/>
  <c r="I20" i="215"/>
  <c r="M18" i="215"/>
  <c r="N18" i="215" s="1"/>
  <c r="M55" i="206"/>
  <c r="M15" i="215"/>
  <c r="N15" i="215" s="1"/>
  <c r="M19" i="215"/>
  <c r="N19" i="215" s="1"/>
  <c r="M56" i="206"/>
  <c r="K20" i="215" l="1"/>
  <c r="J20" i="215"/>
  <c r="M11" i="215"/>
  <c r="N11" i="215" s="1"/>
  <c r="N32" i="215" s="1"/>
  <c r="M10" i="215"/>
  <c r="M20" i="215" l="1"/>
  <c r="N10" i="215"/>
  <c r="N31" i="215" s="1"/>
  <c r="N20" i="215" l="1"/>
  <c r="I74" i="206"/>
  <c r="L99" i="206"/>
  <c r="I99" i="206"/>
  <c r="J99" i="206" s="1"/>
  <c r="I30" i="206"/>
  <c r="J30" i="206" s="1"/>
  <c r="K74" i="206" l="1"/>
  <c r="L74" i="206" s="1"/>
  <c r="N34" i="215"/>
  <c r="J74" i="206"/>
  <c r="M99" i="206"/>
  <c r="L30" i="206"/>
  <c r="M30" i="206" s="1"/>
  <c r="L27" i="205"/>
  <c r="J27" i="205"/>
  <c r="M74" i="206" l="1"/>
  <c r="M27" i="205"/>
  <c r="N36" i="215"/>
  <c r="I73" i="206"/>
  <c r="L102" i="206"/>
  <c r="I102" i="206"/>
  <c r="J73" i="206" l="1"/>
  <c r="K73" i="206"/>
  <c r="L73" i="206" s="1"/>
  <c r="M73" i="206" s="1"/>
  <c r="J102" i="206"/>
  <c r="M102" i="206" s="1"/>
  <c r="I26" i="206" l="1"/>
  <c r="N27" i="206"/>
  <c r="H66" i="213"/>
  <c r="L126" i="206"/>
  <c r="I126" i="206"/>
  <c r="J126" i="206" s="1"/>
  <c r="L47" i="206"/>
  <c r="I47" i="206"/>
  <c r="K26" i="206" l="1"/>
  <c r="L26" i="206" s="1"/>
  <c r="J26" i="206"/>
  <c r="M126" i="206"/>
  <c r="J47" i="206"/>
  <c r="M47" i="206" s="1"/>
  <c r="H69" i="213"/>
  <c r="L111" i="206"/>
  <c r="J110" i="206"/>
  <c r="H54" i="213"/>
  <c r="M26" i="206" l="1"/>
  <c r="M111" i="206"/>
  <c r="L13" i="206"/>
  <c r="I13" i="206"/>
  <c r="J13" i="206" s="1"/>
  <c r="L75" i="206"/>
  <c r="I75" i="206"/>
  <c r="M13" i="206" l="1"/>
  <c r="J75" i="206"/>
  <c r="M75" i="206" s="1"/>
  <c r="G49" i="213"/>
  <c r="I33" i="206" l="1"/>
  <c r="AH24" i="214"/>
  <c r="AG24" i="214"/>
  <c r="AF24" i="214"/>
  <c r="AE24" i="214"/>
  <c r="AC24" i="214"/>
  <c r="O24" i="214"/>
  <c r="N24" i="214"/>
  <c r="M24" i="214"/>
  <c r="L24" i="214"/>
  <c r="J24" i="214"/>
  <c r="I24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J33" i="206" l="1"/>
  <c r="K33" i="206"/>
  <c r="L33" i="206" s="1"/>
  <c r="M33" i="206" s="1"/>
  <c r="S17" i="214"/>
  <c r="U17" i="214" s="1"/>
  <c r="H22" i="213"/>
  <c r="S21" i="214"/>
  <c r="S19" i="214"/>
  <c r="S22" i="214"/>
  <c r="U22" i="214" s="1"/>
  <c r="AL9" i="213"/>
  <c r="R24" i="214"/>
  <c r="P17" i="214"/>
  <c r="S16" i="214"/>
  <c r="S18" i="214"/>
  <c r="P18" i="214"/>
  <c r="S20" i="214"/>
  <c r="P21" i="214"/>
  <c r="P19" i="214"/>
  <c r="K24" i="214"/>
  <c r="U21" i="214" l="1"/>
  <c r="W21" i="214" s="1"/>
  <c r="Y21" i="214" s="1"/>
  <c r="AA21" i="214" s="1"/>
  <c r="AD21" i="214" s="1"/>
  <c r="AI21" i="214" s="1"/>
  <c r="AJ21" i="214" s="1"/>
  <c r="U18" i="214"/>
  <c r="S24" i="214"/>
  <c r="U19" i="214"/>
  <c r="P24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4" i="214"/>
  <c r="W19" i="214" l="1"/>
  <c r="Y19" i="214" s="1"/>
  <c r="AA19" i="214" s="1"/>
  <c r="AD19" i="214" s="1"/>
  <c r="AI19" i="214" s="1"/>
  <c r="AJ19" i="214" s="1"/>
  <c r="Z24" i="214"/>
  <c r="W18" i="214"/>
  <c r="Y18" i="214" s="1"/>
  <c r="AA18" i="214" s="1"/>
  <c r="AD18" i="214" s="1"/>
  <c r="AI18" i="214" s="1"/>
  <c r="AJ18" i="214" s="1"/>
  <c r="V24" i="214"/>
  <c r="W20" i="214"/>
  <c r="Y20" i="214" s="1"/>
  <c r="AA20" i="214" s="1"/>
  <c r="AD20" i="214" s="1"/>
  <c r="AI20" i="214" s="1"/>
  <c r="AJ20" i="214" s="1"/>
  <c r="U24" i="214"/>
  <c r="W16" i="214"/>
  <c r="T24" i="214"/>
  <c r="Y16" i="214" l="1"/>
  <c r="W24" i="214"/>
  <c r="Y24" i="214" l="1"/>
  <c r="AA16" i="214"/>
  <c r="AA24" i="214" l="1"/>
  <c r="AD16" i="214"/>
  <c r="AD24" i="214" l="1"/>
  <c r="AI16" i="214"/>
  <c r="AI24" i="214" l="1"/>
  <c r="AM24" i="214" s="1"/>
  <c r="AJ16" i="214"/>
  <c r="AJ24" i="214" s="1"/>
  <c r="AJ38" i="214" l="1"/>
  <c r="AJ40" i="214" l="1"/>
  <c r="L109" i="206"/>
  <c r="L110" i="206"/>
  <c r="M109" i="206" l="1"/>
  <c r="M110" i="206"/>
  <c r="I124" i="206" l="1"/>
  <c r="J113" i="206"/>
  <c r="I106" i="206"/>
  <c r="I103" i="206"/>
  <c r="J103" i="206" s="1"/>
  <c r="I95" i="206"/>
  <c r="I94" i="206"/>
  <c r="I91" i="206"/>
  <c r="I86" i="206"/>
  <c r="J86" i="206" s="1"/>
  <c r="I79" i="206"/>
  <c r="J79" i="206" s="1"/>
  <c r="I69" i="206"/>
  <c r="J69" i="206" s="1"/>
  <c r="I62" i="206"/>
  <c r="I61" i="206"/>
  <c r="J61" i="206" s="1"/>
  <c r="I50" i="206"/>
  <c r="I57" i="206"/>
  <c r="J57" i="206" s="1"/>
  <c r="I54" i="206"/>
  <c r="I53" i="206"/>
  <c r="J53" i="206" s="1"/>
  <c r="I52" i="206"/>
  <c r="J52" i="206" s="1"/>
  <c r="I25" i="206"/>
  <c r="I20" i="206"/>
  <c r="I96" i="205"/>
  <c r="K96" i="205" s="1"/>
  <c r="I84" i="205"/>
  <c r="I81" i="205"/>
  <c r="K81" i="205" s="1"/>
  <c r="I78" i="205"/>
  <c r="K78" i="205" s="1"/>
  <c r="I63" i="205"/>
  <c r="K63" i="205" s="1"/>
  <c r="I62" i="205"/>
  <c r="I61" i="205"/>
  <c r="K61" i="205" s="1"/>
  <c r="I58" i="205"/>
  <c r="K40" i="205"/>
  <c r="K36" i="205"/>
  <c r="K34" i="205"/>
  <c r="K30" i="205"/>
  <c r="K24" i="205"/>
  <c r="K20" i="205"/>
  <c r="I139" i="206"/>
  <c r="L131" i="206"/>
  <c r="L130" i="206"/>
  <c r="L123" i="206"/>
  <c r="L119" i="206"/>
  <c r="L118" i="206"/>
  <c r="L117" i="206"/>
  <c r="L116" i="206"/>
  <c r="L114" i="206"/>
  <c r="L113" i="206"/>
  <c r="L112" i="206"/>
  <c r="L108" i="206"/>
  <c r="L107" i="206"/>
  <c r="L106" i="206"/>
  <c r="L103" i="206"/>
  <c r="L101" i="206"/>
  <c r="L100" i="206"/>
  <c r="L98" i="206"/>
  <c r="L96" i="206"/>
  <c r="L95" i="206"/>
  <c r="L94" i="206"/>
  <c r="L92" i="206"/>
  <c r="L91" i="206"/>
  <c r="L90" i="206"/>
  <c r="L87" i="206"/>
  <c r="L85" i="206"/>
  <c r="L84" i="206"/>
  <c r="L83" i="206"/>
  <c r="L82" i="206"/>
  <c r="L72" i="206"/>
  <c r="L69" i="206"/>
  <c r="L70" i="206"/>
  <c r="L71" i="206"/>
  <c r="L68" i="206"/>
  <c r="L67" i="206"/>
  <c r="L61" i="206"/>
  <c r="L60" i="206"/>
  <c r="L57" i="206"/>
  <c r="L48" i="206"/>
  <c r="L49" i="206"/>
  <c r="L46" i="206"/>
  <c r="L44" i="206"/>
  <c r="L43" i="206"/>
  <c r="L37" i="206"/>
  <c r="L38" i="206"/>
  <c r="L39" i="206"/>
  <c r="L31" i="206"/>
  <c r="L32" i="206"/>
  <c r="K58" i="205" l="1"/>
  <c r="K20" i="206"/>
  <c r="L20" i="206" s="1"/>
  <c r="I21" i="206"/>
  <c r="J139" i="206"/>
  <c r="K139" i="206"/>
  <c r="L139" i="206" s="1"/>
  <c r="J124" i="206"/>
  <c r="K124" i="206"/>
  <c r="L124" i="206" s="1"/>
  <c r="K62" i="206"/>
  <c r="L62" i="206" s="1"/>
  <c r="J25" i="206"/>
  <c r="K25" i="206"/>
  <c r="L25" i="206" s="1"/>
  <c r="J95" i="206"/>
  <c r="M95" i="206" s="1"/>
  <c r="J115" i="206"/>
  <c r="J94" i="206"/>
  <c r="M94" i="206" s="1"/>
  <c r="J91" i="206"/>
  <c r="M91" i="206" s="1"/>
  <c r="J54" i="206"/>
  <c r="L54" i="206"/>
  <c r="I97" i="205"/>
  <c r="L125" i="206"/>
  <c r="L50" i="206"/>
  <c r="L36" i="206"/>
  <c r="L41" i="206" s="1"/>
  <c r="L122" i="206"/>
  <c r="L53" i="206"/>
  <c r="J62" i="206"/>
  <c r="J106" i="206"/>
  <c r="L115" i="206"/>
  <c r="L52" i="206"/>
  <c r="J20" i="206"/>
  <c r="L86" i="206"/>
  <c r="J50" i="206"/>
  <c r="L128" i="206" l="1"/>
  <c r="K128" i="206"/>
  <c r="M54" i="206"/>
  <c r="M50" i="206"/>
  <c r="I16" i="206"/>
  <c r="I15" i="206"/>
  <c r="J15" i="206" s="1"/>
  <c r="I12" i="206"/>
  <c r="J12" i="206" s="1"/>
  <c r="L15" i="206"/>
  <c r="L14" i="206"/>
  <c r="L12" i="206"/>
  <c r="L11" i="206"/>
  <c r="L96" i="205"/>
  <c r="J96" i="205"/>
  <c r="I88" i="205"/>
  <c r="L84" i="205"/>
  <c r="J84" i="205"/>
  <c r="L81" i="205"/>
  <c r="J81" i="205"/>
  <c r="L78" i="205"/>
  <c r="J78" i="205"/>
  <c r="L75" i="205"/>
  <c r="L70" i="205"/>
  <c r="L71" i="205"/>
  <c r="L63" i="205"/>
  <c r="J63" i="205"/>
  <c r="L62" i="205"/>
  <c r="J62" i="205"/>
  <c r="L61" i="205"/>
  <c r="J61" i="205"/>
  <c r="J58" i="205"/>
  <c r="J40" i="205"/>
  <c r="J36" i="205"/>
  <c r="J34" i="205"/>
  <c r="J37" i="205"/>
  <c r="J31" i="205"/>
  <c r="J30" i="205"/>
  <c r="J24" i="205"/>
  <c r="J25" i="205"/>
  <c r="J26" i="205"/>
  <c r="J20" i="205"/>
  <c r="K88" i="205" l="1"/>
  <c r="L88" i="205" s="1"/>
  <c r="J16" i="206"/>
  <c r="K16" i="206"/>
  <c r="J88" i="205"/>
  <c r="J140" i="206" l="1"/>
  <c r="K140" i="206"/>
  <c r="K120" i="206"/>
  <c r="K88" i="206"/>
  <c r="J21" i="206"/>
  <c r="K21" i="206"/>
  <c r="L140" i="206"/>
  <c r="M124" i="206"/>
  <c r="M115" i="206"/>
  <c r="M113" i="206"/>
  <c r="M106" i="206"/>
  <c r="M103" i="206"/>
  <c r="M86" i="206"/>
  <c r="L79" i="206"/>
  <c r="M79" i="206" s="1"/>
  <c r="M62" i="206"/>
  <c r="M61" i="206"/>
  <c r="M57" i="206"/>
  <c r="M53" i="206"/>
  <c r="M52" i="206"/>
  <c r="M25" i="206"/>
  <c r="M20" i="206"/>
  <c r="L16" i="206"/>
  <c r="M16" i="206" s="1"/>
  <c r="M15" i="206"/>
  <c r="M12" i="206"/>
  <c r="I136" i="206"/>
  <c r="M96" i="205"/>
  <c r="M84" i="205"/>
  <c r="M81" i="205"/>
  <c r="M78" i="205"/>
  <c r="M79" i="205" s="1"/>
  <c r="M63" i="205"/>
  <c r="M62" i="205"/>
  <c r="M61" i="205"/>
  <c r="L58" i="205"/>
  <c r="M58" i="205" s="1"/>
  <c r="L40" i="205"/>
  <c r="M40" i="205" s="1"/>
  <c r="L37" i="205"/>
  <c r="M37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2" i="205"/>
  <c r="L9" i="205"/>
  <c r="K44" i="205"/>
  <c r="K48" i="205"/>
  <c r="J49" i="205"/>
  <c r="K52" i="205"/>
  <c r="J82" i="205"/>
  <c r="I137" i="206" l="1"/>
  <c r="K136" i="206"/>
  <c r="K41" i="205"/>
  <c r="L41" i="205" s="1"/>
  <c r="K23" i="205"/>
  <c r="K28" i="205" s="1"/>
  <c r="K19" i="205"/>
  <c r="L19" i="205" s="1"/>
  <c r="M21" i="206"/>
  <c r="M97" i="205"/>
  <c r="J35" i="205"/>
  <c r="M35" i="205" s="1"/>
  <c r="M38" i="205" s="1"/>
  <c r="M32" i="205"/>
  <c r="L32" i="205"/>
  <c r="L45" i="205"/>
  <c r="J45" i="205"/>
  <c r="L48" i="205"/>
  <c r="J48" i="205"/>
  <c r="J41" i="205"/>
  <c r="J136" i="206"/>
  <c r="J137" i="206" s="1"/>
  <c r="L44" i="205"/>
  <c r="J44" i="205"/>
  <c r="J23" i="205"/>
  <c r="J19" i="205"/>
  <c r="L52" i="205"/>
  <c r="J52" i="205"/>
  <c r="L21" i="206"/>
  <c r="L88" i="206"/>
  <c r="M139" i="206"/>
  <c r="M140" i="206" s="1"/>
  <c r="L120" i="206"/>
  <c r="M69" i="206"/>
  <c r="M49" i="205"/>
  <c r="M25" i="205"/>
  <c r="L82" i="205"/>
  <c r="M82" i="205"/>
  <c r="J97" i="205"/>
  <c r="L79" i="205"/>
  <c r="J79" i="205"/>
  <c r="J32" i="205"/>
  <c r="L23" i="205" l="1"/>
  <c r="L28" i="205" s="1"/>
  <c r="M44" i="205"/>
  <c r="M41" i="205"/>
  <c r="M45" i="205"/>
  <c r="M48" i="205"/>
  <c r="M50" i="205" s="1"/>
  <c r="M19" i="205"/>
  <c r="M52" i="205"/>
  <c r="M53" i="205" s="1"/>
  <c r="L136" i="206"/>
  <c r="K137" i="206"/>
  <c r="K82" i="205"/>
  <c r="K32" i="205"/>
  <c r="K97" i="205"/>
  <c r="K79" i="205"/>
  <c r="L97" i="205"/>
  <c r="N58" i="206"/>
  <c r="M42" i="205" l="1"/>
  <c r="M21" i="205"/>
  <c r="M46" i="205"/>
  <c r="M23" i="205"/>
  <c r="M28" i="205" s="1"/>
  <c r="L137" i="206"/>
  <c r="M136" i="206"/>
  <c r="M137" i="206" s="1"/>
  <c r="N80" i="206"/>
  <c r="I39" i="206"/>
  <c r="I37" i="206"/>
  <c r="N34" i="206"/>
  <c r="N18" i="206"/>
  <c r="I82" i="205"/>
  <c r="I79" i="205"/>
  <c r="I78" i="206"/>
  <c r="I80" i="206" s="1"/>
  <c r="N140" i="206"/>
  <c r="I140" i="206"/>
  <c r="N137" i="206"/>
  <c r="N134" i="206"/>
  <c r="N128" i="206"/>
  <c r="N120" i="206"/>
  <c r="N104" i="206"/>
  <c r="N88" i="206"/>
  <c r="N76" i="206"/>
  <c r="N64" i="206"/>
  <c r="N21" i="206"/>
  <c r="K78" i="206" l="1"/>
  <c r="J37" i="206"/>
  <c r="M37" i="206" s="1"/>
  <c r="J78" i="206"/>
  <c r="J80" i="206" s="1"/>
  <c r="J39" i="206"/>
  <c r="M39" i="206" s="1"/>
  <c r="I63" i="206"/>
  <c r="K63" i="206" s="1"/>
  <c r="L78" i="206" l="1"/>
  <c r="K80" i="206"/>
  <c r="J63" i="206"/>
  <c r="L80" i="206" l="1"/>
  <c r="M78" i="206"/>
  <c r="L63" i="206"/>
  <c r="L64" i="206" s="1"/>
  <c r="K64" i="206"/>
  <c r="M80" i="206" l="1"/>
  <c r="M63" i="206"/>
  <c r="I44" i="206"/>
  <c r="I45" i="206"/>
  <c r="I46" i="206"/>
  <c r="I48" i="206"/>
  <c r="I49" i="206"/>
  <c r="I51" i="206"/>
  <c r="L51" i="206" l="1"/>
  <c r="J51" i="206"/>
  <c r="J49" i="206"/>
  <c r="M49" i="206" s="1"/>
  <c r="J46" i="206"/>
  <c r="M46" i="206" s="1"/>
  <c r="J45" i="206"/>
  <c r="J44" i="206"/>
  <c r="M44" i="206" s="1"/>
  <c r="J48" i="206"/>
  <c r="M48" i="206" s="1"/>
  <c r="I72" i="206"/>
  <c r="M51" i="206" l="1"/>
  <c r="J72" i="206"/>
  <c r="M72" i="206" s="1"/>
  <c r="L45" i="206"/>
  <c r="K58" i="206"/>
  <c r="L58" i="206" l="1"/>
  <c r="M45" i="206"/>
  <c r="J42" i="205" l="1"/>
  <c r="L42" i="205"/>
  <c r="I67" i="206"/>
  <c r="J67" i="206" l="1"/>
  <c r="M67" i="206" s="1"/>
  <c r="K42" i="205"/>
  <c r="I70" i="206" l="1"/>
  <c r="J70" i="206" l="1"/>
  <c r="M70" i="206" s="1"/>
  <c r="J130" i="206" l="1"/>
  <c r="M130" i="206" s="1"/>
  <c r="I8" i="206"/>
  <c r="I122" i="206"/>
  <c r="I123" i="206"/>
  <c r="I125" i="206"/>
  <c r="I107" i="206"/>
  <c r="I108" i="206"/>
  <c r="J112" i="206"/>
  <c r="J114" i="206"/>
  <c r="J116" i="206"/>
  <c r="J117" i="206"/>
  <c r="J118" i="206"/>
  <c r="J119" i="206"/>
  <c r="I92" i="206"/>
  <c r="I93" i="206"/>
  <c r="K93" i="206" s="1"/>
  <c r="I96" i="206"/>
  <c r="I97" i="206"/>
  <c r="L97" i="206" s="1"/>
  <c r="I98" i="206"/>
  <c r="I100" i="206"/>
  <c r="I101" i="206"/>
  <c r="I90" i="206"/>
  <c r="I87" i="206"/>
  <c r="I83" i="206"/>
  <c r="I84" i="206"/>
  <c r="I85" i="206"/>
  <c r="I82" i="206"/>
  <c r="I66" i="206"/>
  <c r="I68" i="206"/>
  <c r="I71" i="206"/>
  <c r="I60" i="206"/>
  <c r="I64" i="206" s="1"/>
  <c r="I43" i="206"/>
  <c r="I58" i="206" s="1"/>
  <c r="I36" i="206"/>
  <c r="I38" i="206"/>
  <c r="I31" i="206"/>
  <c r="I32" i="206"/>
  <c r="I29" i="206"/>
  <c r="I23" i="206"/>
  <c r="I24" i="206"/>
  <c r="K24" i="206" s="1"/>
  <c r="I10" i="206"/>
  <c r="K10" i="206" s="1"/>
  <c r="I11" i="206"/>
  <c r="I14" i="206"/>
  <c r="M9" i="205"/>
  <c r="I93" i="205"/>
  <c r="K93" i="205" s="1"/>
  <c r="I90" i="205"/>
  <c r="K90" i="205" s="1"/>
  <c r="I89" i="205"/>
  <c r="M88" i="205"/>
  <c r="I85" i="205"/>
  <c r="I86" i="205" s="1"/>
  <c r="I75" i="205"/>
  <c r="I74" i="205"/>
  <c r="I70" i="205"/>
  <c r="I71" i="205"/>
  <c r="I69" i="205"/>
  <c r="I66" i="205"/>
  <c r="K66" i="205" s="1"/>
  <c r="I60" i="205"/>
  <c r="L60" i="205" s="1"/>
  <c r="I59" i="205"/>
  <c r="I17" i="205"/>
  <c r="I18" i="206" l="1"/>
  <c r="I34" i="206"/>
  <c r="I41" i="206"/>
  <c r="I27" i="206"/>
  <c r="I120" i="206"/>
  <c r="I104" i="206"/>
  <c r="K66" i="206"/>
  <c r="I76" i="206"/>
  <c r="I128" i="206"/>
  <c r="I88" i="206"/>
  <c r="K69" i="205"/>
  <c r="L69" i="205" s="1"/>
  <c r="I72" i="205"/>
  <c r="K74" i="205"/>
  <c r="L74" i="205" s="1"/>
  <c r="I76" i="205"/>
  <c r="K59" i="205"/>
  <c r="L59" i="205" s="1"/>
  <c r="I64" i="205"/>
  <c r="K89" i="205"/>
  <c r="I91" i="205"/>
  <c r="K29" i="206"/>
  <c r="K23" i="206"/>
  <c r="K8" i="206"/>
  <c r="K18" i="206" s="1"/>
  <c r="K11" i="205"/>
  <c r="K14" i="205" s="1"/>
  <c r="J60" i="206"/>
  <c r="J64" i="206" s="1"/>
  <c r="J43" i="206"/>
  <c r="J58" i="206" s="1"/>
  <c r="L16" i="205"/>
  <c r="J16" i="205"/>
  <c r="M119" i="206"/>
  <c r="L85" i="205"/>
  <c r="J85" i="205"/>
  <c r="L66" i="205"/>
  <c r="J66" i="205"/>
  <c r="J84" i="206"/>
  <c r="M84" i="206" s="1"/>
  <c r="J83" i="206"/>
  <c r="M83" i="206" s="1"/>
  <c r="J96" i="206"/>
  <c r="M96" i="206" s="1"/>
  <c r="M114" i="206"/>
  <c r="J122" i="206"/>
  <c r="J100" i="206"/>
  <c r="M100" i="206" s="1"/>
  <c r="J59" i="205"/>
  <c r="J82" i="206"/>
  <c r="J107" i="206"/>
  <c r="J89" i="205"/>
  <c r="J36" i="206"/>
  <c r="J97" i="206"/>
  <c r="M97" i="206" s="1"/>
  <c r="M116" i="206"/>
  <c r="J69" i="205"/>
  <c r="J71" i="205"/>
  <c r="M71" i="205" s="1"/>
  <c r="L132" i="206"/>
  <c r="J132" i="206"/>
  <c r="J87" i="206"/>
  <c r="M87" i="206" s="1"/>
  <c r="M112" i="206"/>
  <c r="J12" i="205"/>
  <c r="M12" i="205" s="1"/>
  <c r="J70" i="205"/>
  <c r="M70" i="205" s="1"/>
  <c r="J32" i="206"/>
  <c r="M32" i="206" s="1"/>
  <c r="J71" i="206"/>
  <c r="M71" i="206" s="1"/>
  <c r="J90" i="206"/>
  <c r="M90" i="206" s="1"/>
  <c r="J93" i="206"/>
  <c r="J131" i="206"/>
  <c r="M131" i="206" s="1"/>
  <c r="J75" i="205"/>
  <c r="M75" i="205" s="1"/>
  <c r="J11" i="206"/>
  <c r="M11" i="206" s="1"/>
  <c r="L24" i="206"/>
  <c r="J24" i="206"/>
  <c r="J123" i="206"/>
  <c r="M123" i="206" s="1"/>
  <c r="L90" i="205"/>
  <c r="J90" i="205"/>
  <c r="J23" i="206"/>
  <c r="L93" i="205"/>
  <c r="J93" i="205"/>
  <c r="J29" i="206"/>
  <c r="J11" i="205"/>
  <c r="J74" i="205"/>
  <c r="J31" i="206"/>
  <c r="M31" i="206" s="1"/>
  <c r="J68" i="206"/>
  <c r="M68" i="206" s="1"/>
  <c r="J101" i="206"/>
  <c r="M101" i="206" s="1"/>
  <c r="J92" i="206"/>
  <c r="M92" i="206" s="1"/>
  <c r="J14" i="206"/>
  <c r="M14" i="206" s="1"/>
  <c r="J8" i="206"/>
  <c r="K76" i="206"/>
  <c r="J66" i="206"/>
  <c r="J108" i="206"/>
  <c r="M108" i="206" s="1"/>
  <c r="J38" i="206"/>
  <c r="M38" i="206" s="1"/>
  <c r="M118" i="206"/>
  <c r="J60" i="205"/>
  <c r="M60" i="205" s="1"/>
  <c r="L10" i="206"/>
  <c r="J10" i="206"/>
  <c r="J85" i="206"/>
  <c r="M85" i="206" s="1"/>
  <c r="J98" i="206"/>
  <c r="M98" i="206" s="1"/>
  <c r="M117" i="206"/>
  <c r="J125" i="206"/>
  <c r="J38" i="205"/>
  <c r="L38" i="205"/>
  <c r="L46" i="205"/>
  <c r="J46" i="205"/>
  <c r="I67" i="205"/>
  <c r="J50" i="205"/>
  <c r="I94" i="205"/>
  <c r="J14" i="205" l="1"/>
  <c r="J18" i="206"/>
  <c r="J41" i="206"/>
  <c r="M16" i="205"/>
  <c r="J128" i="206"/>
  <c r="J27" i="206"/>
  <c r="M125" i="206"/>
  <c r="K27" i="206"/>
  <c r="M43" i="206"/>
  <c r="M58" i="206" s="1"/>
  <c r="M60" i="206"/>
  <c r="M64" i="206" s="1"/>
  <c r="J76" i="206"/>
  <c r="J76" i="205"/>
  <c r="J72" i="205"/>
  <c r="M74" i="205"/>
  <c r="M76" i="205" s="1"/>
  <c r="L11" i="205"/>
  <c r="L14" i="205" s="1"/>
  <c r="M90" i="205"/>
  <c r="M93" i="205"/>
  <c r="M94" i="205" s="1"/>
  <c r="M59" i="205"/>
  <c r="M69" i="205"/>
  <c r="M72" i="205" s="1"/>
  <c r="M85" i="205"/>
  <c r="M86" i="205" s="1"/>
  <c r="M132" i="206"/>
  <c r="J91" i="205"/>
  <c r="M10" i="206"/>
  <c r="M66" i="205"/>
  <c r="M67" i="205" s="1"/>
  <c r="M24" i="206"/>
  <c r="M89" i="205"/>
  <c r="J120" i="206"/>
  <c r="J64" i="205"/>
  <c r="M107" i="206"/>
  <c r="M120" i="206" s="1"/>
  <c r="L23" i="206"/>
  <c r="L27" i="206" s="1"/>
  <c r="L93" i="206"/>
  <c r="M93" i="206" s="1"/>
  <c r="K104" i="206"/>
  <c r="J88" i="206"/>
  <c r="L8" i="206"/>
  <c r="L18" i="206" s="1"/>
  <c r="J34" i="206"/>
  <c r="M82" i="206"/>
  <c r="M88" i="206" s="1"/>
  <c r="L29" i="206"/>
  <c r="K34" i="206"/>
  <c r="L66" i="206"/>
  <c r="L76" i="206" s="1"/>
  <c r="J104" i="206"/>
  <c r="M36" i="206"/>
  <c r="M41" i="206" s="1"/>
  <c r="M122" i="206"/>
  <c r="L64" i="205"/>
  <c r="L72" i="205"/>
  <c r="J86" i="205"/>
  <c r="L86" i="205"/>
  <c r="K76" i="205"/>
  <c r="K72" i="205"/>
  <c r="K91" i="205"/>
  <c r="K50" i="205"/>
  <c r="L91" i="205"/>
  <c r="K38" i="205"/>
  <c r="K64" i="205"/>
  <c r="J94" i="205"/>
  <c r="L94" i="205"/>
  <c r="J17" i="205"/>
  <c r="L17" i="205"/>
  <c r="J67" i="205"/>
  <c r="L67" i="205"/>
  <c r="J21" i="205"/>
  <c r="L21" i="205"/>
  <c r="L76" i="205"/>
  <c r="K46" i="205"/>
  <c r="L50" i="205"/>
  <c r="M128" i="206" l="1"/>
  <c r="M64" i="205"/>
  <c r="M17" i="205"/>
  <c r="M91" i="205"/>
  <c r="M11" i="205"/>
  <c r="M109" i="205" s="1"/>
  <c r="M23" i="206"/>
  <c r="L154" i="206" s="1"/>
  <c r="L34" i="206"/>
  <c r="M29" i="206"/>
  <c r="M34" i="206" s="1"/>
  <c r="M8" i="206"/>
  <c r="L104" i="206"/>
  <c r="M104" i="206"/>
  <c r="M66" i="206"/>
  <c r="M76" i="206" s="1"/>
  <c r="K21" i="205"/>
  <c r="K67" i="205"/>
  <c r="K94" i="205"/>
  <c r="K86" i="205"/>
  <c r="K17" i="205"/>
  <c r="M14" i="205" l="1"/>
  <c r="M18" i="206"/>
  <c r="M27" i="206"/>
  <c r="J53" i="205"/>
  <c r="L53" i="205"/>
  <c r="K53" i="205" l="1"/>
  <c r="N42" i="215" l="1"/>
  <c r="I53" i="205" l="1"/>
  <c r="D55" i="2"/>
  <c r="D58" i="2"/>
  <c r="D56" i="2"/>
  <c r="D54" i="2"/>
  <c r="D57" i="2"/>
  <c r="D60" i="2"/>
  <c r="D63" i="2"/>
  <c r="D62" i="2"/>
  <c r="D61" i="2"/>
  <c r="D59" i="2"/>
  <c r="D53" i="2"/>
  <c r="I56" i="205" l="1"/>
  <c r="I99" i="205" s="1"/>
  <c r="K56" i="205" l="1"/>
  <c r="K99" i="205" s="1"/>
  <c r="L55" i="205"/>
  <c r="L56" i="205" s="1"/>
  <c r="L99" i="205" s="1"/>
  <c r="J55" i="205"/>
  <c r="J56" i="205" s="1"/>
  <c r="J99" i="205" s="1"/>
  <c r="M55" i="205" l="1"/>
  <c r="M108" i="205" s="1"/>
  <c r="M110" i="205" l="1"/>
  <c r="M56" i="205"/>
  <c r="M99" i="205" s="1"/>
  <c r="M112" i="205" l="1"/>
  <c r="L133" i="206"/>
  <c r="L134" i="206" s="1"/>
  <c r="L142" i="206" s="1"/>
  <c r="I142" i="206" l="1"/>
  <c r="J133" i="206"/>
  <c r="J134" i="206" s="1"/>
  <c r="J142" i="206" s="1"/>
  <c r="K134" i="206"/>
  <c r="K142" i="206" s="1"/>
  <c r="M133" i="206" l="1"/>
  <c r="L153" i="206" s="1"/>
  <c r="N40" i="215" l="1"/>
  <c r="M134" i="206"/>
  <c r="M142" i="206" s="1"/>
  <c r="N44" i="215" l="1"/>
  <c r="L155" i="206"/>
  <c r="E40" i="215" s="1"/>
  <c r="E44" i="215" l="1"/>
  <c r="L157" i="206"/>
</calcChain>
</file>

<file path=xl/sharedStrings.xml><?xml version="1.0" encoding="utf-8"?>
<sst xmlns="http://schemas.openxmlformats.org/spreadsheetml/2006/main" count="956" uniqueCount="493">
  <si>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</si>
  <si>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</si>
  <si>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</si>
  <si>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</si>
  <si>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</si>
  <si>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</si>
  <si>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</si>
  <si>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</si>
  <si>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</si>
  <si>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</si>
  <si>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</si>
  <si>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</si>
  <si>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</si>
  <si>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</si>
  <si>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</si>
  <si>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</si>
  <si>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</si>
  <si>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</si>
  <si>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</si>
  <si>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</si>
  <si>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</si>
  <si>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</si>
  <si>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</si>
  <si>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</si>
  <si>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</si>
  <si>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</si>
  <si>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</si>
  <si>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</si>
  <si>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</si>
  <si>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</si>
  <si>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</si>
  <si>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</si>
  <si>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</si>
  <si>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</si>
  <si>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</si>
  <si>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</si>
  <si>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</si>
  <si>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</si>
  <si>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</si>
  <si>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</si>
  <si>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</si>
  <si>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</si>
  <si>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</si>
  <si>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</si>
  <si>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</si>
  <si>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</si>
  <si>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</si>
  <si>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</si>
  <si>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</si>
  <si>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</si>
  <si>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</si>
  <si>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</si>
  <si>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</si>
  <si>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</si>
  <si>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</si>
  <si>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</si>
  <si>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</si>
  <si>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</si>
  <si>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</si>
  <si>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</si>
  <si>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</si>
  <si>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</si>
  <si>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</si>
  <si>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</si>
  <si>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</si>
  <si>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</si>
  <si>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</si>
  <si>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</si>
  <si>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</si>
  <si>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</si>
  <si>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</si>
  <si>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</si>
  <si>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</si>
  <si>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</si>
  <si>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</si>
  <si>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</si>
  <si>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</si>
  <si>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</si>
  <si>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</si>
  <si>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</si>
  <si>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Desarrollo Urbano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</si>
  <si>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</si>
  <si>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</si>
  <si>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</si>
  <si>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</si>
  <si>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</si>
  <si>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</si>
  <si>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</si>
  <si>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</si>
  <si>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</si>
  <si>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</si>
  <si>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</si>
  <si>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</si>
  <si>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</si>
  <si>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</si>
  <si>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</si>
  <si>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</si>
  <si>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</si>
  <si>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</si>
  <si>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</si>
  <si>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</si>
  <si>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</si>
  <si>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</si>
  <si>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</si>
  <si>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</si>
  <si>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</si>
  <si>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</si>
  <si>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</si>
  <si>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</si>
  <si>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</si>
  <si>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</si>
  <si>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</si>
  <si>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</si>
  <si>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</si>
  <si>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</si>
  <si>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</si>
  <si>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</si>
  <si>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</si>
  <si>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Aux. de turismo</t>
  </si>
  <si>
    <t>Encargado campo de futbol</t>
  </si>
  <si>
    <t xml:space="preserve">Recolector </t>
  </si>
  <si>
    <t>Encargado de bomba</t>
  </si>
  <si>
    <t>Barrendero plaza</t>
  </si>
  <si>
    <t>Barrendera Plaza</t>
  </si>
  <si>
    <t>Promotor de deportes</t>
  </si>
  <si>
    <t>Jefe de Ingresos</t>
  </si>
  <si>
    <t>Jefa Egresos</t>
  </si>
  <si>
    <t>Secretario General</t>
  </si>
  <si>
    <t>Raúl Camberos Pizano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</si>
  <si>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</si>
  <si>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</si>
  <si>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</si>
  <si>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</si>
  <si>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</si>
  <si>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</si>
  <si>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</si>
  <si>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</si>
  <si>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</si>
  <si>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</si>
  <si>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</si>
  <si>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</si>
  <si>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</si>
  <si>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</si>
  <si>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</si>
  <si>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</si>
  <si>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</si>
  <si>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</si>
  <si>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</si>
  <si>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</si>
  <si>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Luis Angel Tamayo Guillen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</si>
  <si>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</si>
  <si>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</si>
  <si>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</si>
  <si>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</si>
  <si>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</si>
  <si>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</si>
  <si>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</si>
  <si>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</si>
  <si>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</si>
  <si>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</si>
  <si>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</si>
  <si>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</si>
  <si>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</si>
  <si>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</si>
  <si>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</si>
  <si>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</si>
  <si>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</si>
  <si>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</si>
  <si>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Osbaldo Anguiano Gutiérrez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</si>
  <si>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</si>
  <si>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</si>
  <si>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</si>
  <si>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</si>
  <si>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</si>
  <si>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</si>
  <si>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</si>
  <si>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</si>
  <si>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</si>
  <si>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</si>
  <si>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</si>
  <si>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</si>
  <si>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Raúl Flores Gallo</t>
  </si>
  <si>
    <t>Rafael Rosales Sánchez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</si>
  <si>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</si>
  <si>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</si>
  <si>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</si>
  <si>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</si>
  <si>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</si>
  <si>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</si>
  <si>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</si>
  <si>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</si>
  <si>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</si>
  <si>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</si>
  <si>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</si>
  <si>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</si>
  <si>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</si>
  <si>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</si>
  <si>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</si>
  <si>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</si>
  <si>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</si>
  <si>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</si>
  <si>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</si>
  <si>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</si>
  <si>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</si>
  <si>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</si>
  <si>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</si>
  <si>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</si>
  <si>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</si>
  <si>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</si>
  <si>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</si>
  <si>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</si>
  <si>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</si>
  <si>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</si>
  <si>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</si>
  <si>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</si>
  <si>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</si>
  <si>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</si>
  <si>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</si>
  <si>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</si>
  <si>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</si>
  <si>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</si>
  <si>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</si>
  <si>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</si>
  <si>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</si>
  <si>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</si>
  <si>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</si>
  <si>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</si>
  <si>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</si>
  <si>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Jaime Cristian Serrano Miramontes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</si>
  <si>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</si>
  <si>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</si>
  <si>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</si>
  <si>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</si>
  <si>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</si>
  <si>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</si>
  <si>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</si>
  <si>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</si>
  <si>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</si>
  <si>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</si>
  <si>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</si>
  <si>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</si>
  <si>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</si>
  <si>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</si>
  <si>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</si>
  <si>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</si>
  <si>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</si>
  <si>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</si>
  <si>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</si>
  <si>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</si>
  <si>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</si>
  <si>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Oscar Eduardo Torres Celis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</si>
  <si>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</si>
  <si>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</si>
  <si>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</si>
  <si>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</si>
  <si>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</si>
  <si>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José Manuel Anguiano Miramontes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</si>
  <si>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</si>
  <si>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</si>
  <si>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</si>
  <si>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</si>
  <si>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</si>
  <si>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</si>
  <si>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</si>
  <si>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</si>
  <si>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</si>
  <si>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</si>
  <si>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</si>
  <si>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</si>
  <si>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</si>
  <si>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</si>
  <si>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</si>
  <si>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</si>
  <si>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</si>
  <si>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</si>
  <si>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</si>
  <si>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</si>
  <si>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</si>
  <si>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</si>
  <si>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</si>
  <si>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</si>
  <si>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</si>
  <si>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</si>
  <si>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</si>
  <si>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</si>
  <si>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</si>
  <si>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</si>
  <si>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</si>
  <si>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</si>
  <si>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</si>
  <si>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</si>
  <si>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</si>
  <si>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</si>
  <si>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Limpieza Parque Montecalvario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</si>
  <si>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</si>
  <si>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</si>
  <si>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</si>
  <si>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</si>
  <si>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</si>
  <si>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</si>
  <si>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</si>
  <si>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</si>
  <si>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</si>
  <si>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</si>
  <si>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</si>
  <si>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</si>
  <si>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</si>
  <si>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</si>
  <si>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</si>
  <si>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</si>
  <si>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</si>
  <si>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</si>
  <si>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</si>
  <si>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</si>
  <si>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</si>
  <si>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</si>
  <si>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</si>
  <si>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</si>
  <si>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</si>
  <si>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</si>
  <si>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</si>
  <si>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</si>
  <si>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</si>
  <si>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</si>
  <si>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</si>
  <si>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</si>
  <si>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</si>
  <si>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</si>
  <si>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</si>
  <si>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</si>
  <si>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</si>
  <si>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</si>
  <si>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</si>
  <si>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</si>
  <si>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</si>
  <si>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</si>
  <si>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</si>
  <si>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</si>
  <si>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</si>
  <si>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</si>
  <si>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</si>
  <si>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</si>
  <si>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</si>
  <si>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</si>
  <si>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</si>
  <si>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</si>
  <si>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</si>
  <si>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</si>
  <si>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</si>
  <si>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</si>
  <si>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</si>
  <si>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</si>
  <si>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</si>
  <si>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</si>
  <si>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</si>
  <si>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</si>
  <si>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</si>
  <si>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</si>
  <si>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</si>
  <si>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</si>
  <si>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</si>
  <si>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</si>
  <si>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Cristian Alexander Rodriguez Gutierrez</t>
  </si>
  <si>
    <t>Jose de Jesus Vaca Covarrubias</t>
  </si>
  <si>
    <t>Auxiliar Secretario General</t>
  </si>
  <si>
    <t>Recaudadora de Agua Potable</t>
  </si>
  <si>
    <t>Maria del Refugio Sanchez Ortega</t>
  </si>
  <si>
    <t>Irene Oliva Reyes</t>
  </si>
  <si>
    <t>Erica Daniela Plascencia Nava</t>
  </si>
  <si>
    <t>Alma Rosa Sanchez Ortega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</si>
  <si>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</si>
  <si>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</si>
  <si>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</si>
  <si>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</si>
  <si>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</si>
  <si>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</si>
  <si>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</si>
  <si>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</si>
  <si>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Jose Carlos Contreras Regalado</t>
  </si>
  <si>
    <t>Paola Esmeralda Flores Cocolan</t>
  </si>
  <si>
    <t>Aseo en el rio</t>
  </si>
  <si>
    <t>Ana Grajeda Olvera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</si>
  <si>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</si>
  <si>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</si>
  <si>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</si>
  <si>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</si>
  <si>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</si>
  <si>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</si>
  <si>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</si>
  <si>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</si>
  <si>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</si>
  <si>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</si>
  <si>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</si>
  <si>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</si>
  <si>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</si>
  <si>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</si>
  <si>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</si>
  <si>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</si>
  <si>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</si>
  <si>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</si>
  <si>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</si>
  <si>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Manuel Rodriguez Muñoz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</si>
  <si>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</si>
  <si>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</si>
  <si>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</si>
  <si>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</si>
  <si>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</si>
  <si>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</si>
  <si>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</si>
  <si>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</si>
  <si>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</si>
  <si>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</si>
  <si>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Alexis Salvador Barajas Becerra</t>
  </si>
  <si>
    <t>Edgar Ulises Sandoval Bautista</t>
  </si>
  <si>
    <t>Sub-Comisario</t>
  </si>
  <si>
    <t>Isaac Lupercio Beas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</si>
  <si>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</si>
  <si>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</si>
  <si>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</si>
  <si>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</si>
  <si>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</si>
  <si>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</si>
  <si>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</si>
  <si>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Javier Alejandro Solorzano Meza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</si>
  <si>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</si>
  <si>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</si>
  <si>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</si>
  <si>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</si>
  <si>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</si>
  <si>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Juan Diego Covarrubias Aceves</t>
  </si>
  <si>
    <t>David Gonzalez Rosales</t>
  </si>
  <si>
    <t>Salvador Alejandro Barajas Torres</t>
  </si>
  <si>
    <t>Rigoberto Gonzalez Romero</t>
  </si>
  <si>
    <t>Jose Roman Trinidad Ramirez</t>
  </si>
  <si>
    <t>Samantha Leon Lopez</t>
  </si>
  <si>
    <t>Jonatan Abraham Ruiz Rosales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</si>
  <si>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</si>
  <si>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</si>
  <si>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</si>
  <si>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</si>
  <si>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</si>
  <si>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Julian Ramos Mederos</t>
  </si>
  <si>
    <t>Oscar Raul Borjon Rivas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</si>
  <si>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</si>
  <si>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</si>
  <si>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</si>
  <si>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</si>
  <si>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</si>
  <si>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</si>
  <si>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</si>
  <si>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</si>
  <si>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</si>
  <si>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</si>
  <si>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</si>
  <si>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</si>
  <si>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</si>
  <si>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</si>
  <si>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</si>
  <si>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</si>
  <si>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</si>
  <si>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</si>
  <si>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</si>
  <si>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</si>
  <si>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Noel Ramos Luna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</si>
  <si>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</si>
  <si>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</si>
  <si>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</si>
  <si>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</si>
  <si>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</si>
  <si>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</si>
  <si>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</si>
  <si>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</si>
  <si>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</si>
  <si>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</si>
  <si>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</si>
  <si>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</si>
  <si>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</si>
  <si>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Ascencion Murguia Santiago</t>
  </si>
  <si>
    <t>Jose Guadalupe Rosales Lopez</t>
  </si>
  <si>
    <t>Karina Livier Garcia Gutierrez</t>
  </si>
  <si>
    <t>Auxiliar de Ce-Mujer</t>
  </si>
  <si>
    <t>C.D. JOSE ASCENCION MURGUIA SANTIAGO</t>
  </si>
  <si>
    <t xml:space="preserve">           C.D. JOSE ASCENCION MURGUIA SANTIAGO</t>
  </si>
  <si>
    <t>Omar Ascencion Arreola Ojeda</t>
  </si>
  <si>
    <t>Aurea Santos Montes</t>
  </si>
  <si>
    <t>Diana Laura Nuñez Reynoso</t>
  </si>
  <si>
    <t>Administrativo</t>
  </si>
  <si>
    <t>Martin Rafael Quiroz Vazquez</t>
  </si>
  <si>
    <t>Miriam Oliva Flores</t>
  </si>
  <si>
    <t>PERIODO DE PAGO: SEGUNDA QUINCENA DE ENERO DEL 2024</t>
  </si>
  <si>
    <t>NOMINA DEL 16 AL 31 DE ENERO DEL 2024</t>
  </si>
  <si>
    <t xml:space="preserve">                                         PERIODO DE PAGO: SEGUNDA QUINCENA DE ENERO DEL 2024</t>
  </si>
  <si>
    <t>SEGUNDA QUINCENA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</si>
</sst>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5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2" fontId="19" fillId="0" borderId="14" xfId="2" applyNumberFormat="1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topLeftCell="A28" workbookViewId="0">
      <selection activeCell="F50" sqref="F50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476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4" t="s">
        <v>4</v>
      </c>
      <c r="C7" s="374"/>
      <c r="D7" s="374"/>
      <c r="E7" s="8"/>
      <c r="F7" s="367" t="s">
        <v>19</v>
      </c>
      <c r="G7" s="368"/>
    </row>
    <row r="8" spans="1:7" ht="14.25" customHeight="1" x14ac:dyDescent="0.2">
      <c r="B8" s="371" t="s">
        <v>3</v>
      </c>
      <c r="C8" s="371"/>
      <c r="D8" s="371"/>
      <c r="E8" s="8"/>
      <c r="F8" s="372" t="s">
        <v>20</v>
      </c>
      <c r="G8" s="373"/>
    </row>
    <row r="9" spans="1:7" ht="8.25" customHeight="1" x14ac:dyDescent="0.2">
      <c r="B9" s="375"/>
      <c r="C9" s="375"/>
      <c r="D9" s="375"/>
      <c r="E9" s="8"/>
      <c r="F9" s="369"/>
      <c r="G9" s="370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474</v>
      </c>
      <c r="C34" s="8"/>
      <c r="D34" s="8"/>
    </row>
    <row r="35" spans="2:7" x14ac:dyDescent="0.2">
      <c r="B35" s="23" t="s">
        <v>475</v>
      </c>
      <c r="C35" s="8"/>
      <c r="D35" s="8"/>
    </row>
    <row r="44" spans="2:7" ht="17.25" customHeight="1" x14ac:dyDescent="0.2">
      <c r="B44" s="6" t="s">
        <v>18</v>
      </c>
      <c r="E44" s="8"/>
      <c r="F44" s="367" t="s">
        <v>23</v>
      </c>
      <c r="G44" s="368"/>
    </row>
    <row r="45" spans="2:7" x14ac:dyDescent="0.2">
      <c r="E45" s="8"/>
      <c r="F45" s="372" t="s">
        <v>24</v>
      </c>
      <c r="G45" s="373"/>
    </row>
    <row r="46" spans="2:7" ht="5.25" customHeight="1" x14ac:dyDescent="0.2">
      <c r="E46" s="8"/>
      <c r="F46" s="369"/>
      <c r="G46" s="370"/>
    </row>
    <row r="47" spans="2:7" x14ac:dyDescent="0.2">
      <c r="B47" s="374" t="s">
        <v>4</v>
      </c>
      <c r="C47" s="374"/>
      <c r="D47" s="374"/>
      <c r="E47" s="8"/>
      <c r="F47" s="10" t="s">
        <v>10</v>
      </c>
      <c r="G47" s="10" t="s">
        <v>11</v>
      </c>
    </row>
    <row r="48" spans="2:7" x14ac:dyDescent="0.2">
      <c r="B48" s="371" t="s">
        <v>3</v>
      </c>
      <c r="C48" s="371"/>
      <c r="D48" s="371"/>
      <c r="E48" s="8"/>
      <c r="F48" s="10"/>
      <c r="G48" s="10" t="s">
        <v>12</v>
      </c>
    </row>
    <row r="49" spans="2:7" x14ac:dyDescent="0.2">
      <c r="B49" s="375"/>
      <c r="C49" s="375"/>
      <c r="D49" s="375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13" customWidth="1"/>
    <col min="5" max="5" width="13.5703125" style="5" bestFit="1" customWidth="1"/>
    <col min="6" max="6" width="22.42578125" style="5" customWidth="1"/>
    <col min="7" max="7" width="5.42578125" style="5" bestFit="1" customWidth="1"/>
    <col min="8" max="8" width="8.140625" style="5" bestFit="1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9.4257812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272"/>
      <c r="C1" s="273"/>
      <c r="D1" s="274"/>
      <c r="E1" s="273"/>
      <c r="F1" s="273"/>
      <c r="G1" s="273"/>
      <c r="H1" s="273"/>
      <c r="I1" s="275"/>
      <c r="J1" s="273"/>
      <c r="K1" s="273"/>
      <c r="L1" s="273"/>
      <c r="M1" s="273"/>
      <c r="N1" s="273"/>
      <c r="O1" s="276"/>
    </row>
    <row r="2" spans="1:15" ht="18.75" x14ac:dyDescent="0.3">
      <c r="B2" s="277"/>
      <c r="C2" s="48"/>
      <c r="D2" s="88"/>
      <c r="E2" s="376" t="s">
        <v>382</v>
      </c>
      <c r="F2" s="376"/>
      <c r="G2" s="376"/>
      <c r="H2" s="376"/>
      <c r="I2" s="376"/>
      <c r="J2" s="376"/>
      <c r="K2" s="376"/>
      <c r="L2" s="376"/>
      <c r="M2" s="376"/>
      <c r="N2" s="376"/>
      <c r="O2" s="377"/>
    </row>
    <row r="3" spans="1:15" x14ac:dyDescent="0.2">
      <c r="B3" s="277"/>
      <c r="C3" s="48"/>
      <c r="D3" s="44"/>
      <c r="E3" s="48"/>
      <c r="F3" s="48"/>
      <c r="G3" s="48"/>
      <c r="H3" s="48"/>
      <c r="I3" s="278"/>
      <c r="J3" s="48"/>
      <c r="K3" s="48"/>
      <c r="L3" s="48"/>
      <c r="M3" s="48"/>
      <c r="N3" s="48"/>
      <c r="O3" s="279"/>
    </row>
    <row r="4" spans="1:15" ht="27.75" customHeight="1" x14ac:dyDescent="0.4">
      <c r="B4" s="277"/>
      <c r="C4" s="48"/>
      <c r="D4" s="44"/>
      <c r="E4" s="378"/>
      <c r="F4" s="378"/>
      <c r="G4" s="48"/>
      <c r="H4" s="48"/>
      <c r="I4" s="278"/>
      <c r="J4" s="48"/>
      <c r="K4" s="48"/>
      <c r="L4" s="48"/>
      <c r="M4" s="48"/>
      <c r="N4" s="48"/>
      <c r="O4" s="279"/>
    </row>
    <row r="5" spans="1:15" x14ac:dyDescent="0.2">
      <c r="B5" s="277"/>
      <c r="C5" s="48"/>
      <c r="D5" s="44"/>
      <c r="E5" s="48"/>
      <c r="F5" s="48"/>
      <c r="G5" s="48"/>
      <c r="H5" s="48"/>
      <c r="I5" s="278"/>
      <c r="J5" s="48"/>
      <c r="K5" s="48"/>
      <c r="L5" s="48"/>
      <c r="M5" s="48"/>
      <c r="N5" s="48"/>
      <c r="O5" s="279"/>
    </row>
    <row r="6" spans="1:15" ht="18" x14ac:dyDescent="0.2">
      <c r="B6" s="277"/>
      <c r="C6" s="48"/>
      <c r="D6" s="44"/>
      <c r="E6" s="48"/>
      <c r="F6" s="280" t="s">
        <v>383</v>
      </c>
      <c r="G6" s="48"/>
      <c r="H6" s="48"/>
      <c r="I6" s="278"/>
      <c r="J6" s="48"/>
      <c r="K6" s="48"/>
      <c r="L6" s="48"/>
      <c r="M6" s="48"/>
      <c r="N6" s="48"/>
      <c r="O6" s="279"/>
    </row>
    <row r="7" spans="1:15" x14ac:dyDescent="0.2">
      <c r="B7" s="277"/>
      <c r="C7" s="48"/>
      <c r="D7" s="44"/>
      <c r="E7" s="48"/>
      <c r="F7" s="48"/>
      <c r="G7" s="48"/>
      <c r="H7" s="48"/>
      <c r="I7" s="278"/>
      <c r="J7" s="48"/>
      <c r="K7" s="48"/>
      <c r="L7" s="48"/>
      <c r="M7" s="48"/>
      <c r="N7" s="48"/>
      <c r="O7" s="279"/>
    </row>
    <row r="8" spans="1:15" ht="30" customHeight="1" x14ac:dyDescent="0.2">
      <c r="B8" s="281"/>
      <c r="C8" s="210"/>
      <c r="D8" s="282"/>
      <c r="E8" s="283"/>
      <c r="F8" s="284" t="s">
        <v>384</v>
      </c>
      <c r="G8" s="379" t="s">
        <v>492</v>
      </c>
      <c r="H8" s="379"/>
      <c r="I8" s="379"/>
      <c r="J8" s="379"/>
      <c r="K8" s="379"/>
      <c r="L8" s="379"/>
      <c r="M8" s="379"/>
      <c r="N8" s="284"/>
      <c r="O8" s="285"/>
    </row>
    <row r="9" spans="1:15" s="293" customFormat="1" ht="38.25" x14ac:dyDescent="0.2">
      <c r="A9" s="5"/>
      <c r="B9" s="286" t="s">
        <v>301</v>
      </c>
      <c r="C9" s="287" t="s">
        <v>361</v>
      </c>
      <c r="D9" s="288" t="s">
        <v>14</v>
      </c>
      <c r="E9" s="288" t="s">
        <v>295</v>
      </c>
      <c r="F9" s="288" t="s">
        <v>296</v>
      </c>
      <c r="G9" s="288" t="s">
        <v>471</v>
      </c>
      <c r="H9" s="288" t="s">
        <v>300</v>
      </c>
      <c r="I9" s="289" t="s">
        <v>297</v>
      </c>
      <c r="J9" s="288" t="s">
        <v>313</v>
      </c>
      <c r="K9" s="288" t="s">
        <v>314</v>
      </c>
      <c r="L9" s="290" t="s">
        <v>385</v>
      </c>
      <c r="M9" s="290" t="s">
        <v>298</v>
      </c>
      <c r="N9" s="291" t="s">
        <v>294</v>
      </c>
      <c r="O9" s="292" t="s">
        <v>305</v>
      </c>
    </row>
    <row r="10" spans="1:15" s="29" customFormat="1" ht="30" customHeight="1" x14ac:dyDescent="0.2">
      <c r="A10" s="5"/>
      <c r="B10" s="294">
        <v>1</v>
      </c>
      <c r="C10" s="295" t="s">
        <v>361</v>
      </c>
      <c r="D10" s="296" t="s">
        <v>386</v>
      </c>
      <c r="E10" s="296" t="s">
        <v>387</v>
      </c>
      <c r="F10" s="81"/>
      <c r="G10" s="81">
        <v>15</v>
      </c>
      <c r="H10" s="297">
        <v>621.73299999999995</v>
      </c>
      <c r="I10" s="298">
        <f>ROUND(G10*H10,2)</f>
        <v>9326</v>
      </c>
      <c r="J10" s="299">
        <v>0</v>
      </c>
      <c r="K10" s="299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300">
        <v>0</v>
      </c>
      <c r="M10" s="301">
        <f>K11+L10</f>
        <v>1169.01</v>
      </c>
      <c r="N10" s="302">
        <f>I10-M10</f>
        <v>8156.99</v>
      </c>
      <c r="O10" s="303"/>
    </row>
    <row r="11" spans="1:15" s="29" customFormat="1" ht="30" customHeight="1" x14ac:dyDescent="0.2">
      <c r="A11" s="5"/>
      <c r="B11" s="294">
        <v>2</v>
      </c>
      <c r="C11" s="295"/>
      <c r="D11" s="296" t="s">
        <v>388</v>
      </c>
      <c r="E11" s="296" t="s">
        <v>387</v>
      </c>
      <c r="F11" s="257"/>
      <c r="G11" s="81">
        <v>15</v>
      </c>
      <c r="H11" s="297">
        <v>621.73299999999995</v>
      </c>
      <c r="I11" s="298">
        <f t="shared" ref="I11:I19" si="1">ROUND(G11*H11,2)</f>
        <v>9326</v>
      </c>
      <c r="J11" s="299">
        <v>0</v>
      </c>
      <c r="K11" s="299">
        <f t="shared" si="0"/>
        <v>1169.01</v>
      </c>
      <c r="L11" s="299">
        <v>0</v>
      </c>
      <c r="M11" s="301">
        <f>K11</f>
        <v>1169.01</v>
      </c>
      <c r="N11" s="302">
        <f>I11-M11</f>
        <v>8156.99</v>
      </c>
      <c r="O11" s="303"/>
    </row>
    <row r="12" spans="1:15" s="29" customFormat="1" ht="30" customHeight="1" x14ac:dyDescent="0.2">
      <c r="A12" s="5"/>
      <c r="B12" s="294">
        <v>3</v>
      </c>
      <c r="C12" s="295"/>
      <c r="D12" s="296" t="s">
        <v>473</v>
      </c>
      <c r="E12" s="296" t="s">
        <v>387</v>
      </c>
      <c r="F12" s="362"/>
      <c r="G12" s="81">
        <v>15</v>
      </c>
      <c r="H12" s="297">
        <v>621.73299999999995</v>
      </c>
      <c r="I12" s="298">
        <f t="shared" ref="I12" si="2">ROUND(G12*H12,2)</f>
        <v>9326</v>
      </c>
      <c r="J12" s="299">
        <v>0</v>
      </c>
      <c r="K12" s="299">
        <f t="shared" ref="K12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299">
        <v>0</v>
      </c>
      <c r="M12" s="301">
        <f>K12</f>
        <v>1169.01</v>
      </c>
      <c r="N12" s="302">
        <f>I12-M12</f>
        <v>8156.99</v>
      </c>
      <c r="O12" s="303"/>
    </row>
    <row r="13" spans="1:15" s="29" customFormat="1" ht="30" customHeight="1" x14ac:dyDescent="0.2">
      <c r="A13" s="5"/>
      <c r="B13" s="294">
        <v>5</v>
      </c>
      <c r="C13" s="295"/>
      <c r="D13" s="296" t="s">
        <v>389</v>
      </c>
      <c r="E13" s="296" t="s">
        <v>387</v>
      </c>
      <c r="F13" s="81"/>
      <c r="G13" s="81">
        <v>15</v>
      </c>
      <c r="H13" s="297">
        <v>621.73299999999995</v>
      </c>
      <c r="I13" s="298">
        <f t="shared" si="1"/>
        <v>9326</v>
      </c>
      <c r="J13" s="299">
        <v>0</v>
      </c>
      <c r="K13" s="299">
        <f t="shared" si="0"/>
        <v>1169.01</v>
      </c>
      <c r="L13" s="299">
        <v>0</v>
      </c>
      <c r="M13" s="301">
        <f t="shared" ref="M13:M19" si="4">K13</f>
        <v>1169.01</v>
      </c>
      <c r="N13" s="302">
        <f t="shared" ref="N13:N19" si="5">I13-M13</f>
        <v>8156.99</v>
      </c>
      <c r="O13" s="303"/>
    </row>
    <row r="14" spans="1:15" s="29" customFormat="1" ht="30" customHeight="1" x14ac:dyDescent="0.2">
      <c r="A14" s="5"/>
      <c r="B14" s="294">
        <v>6</v>
      </c>
      <c r="C14" s="295"/>
      <c r="D14" s="296" t="s">
        <v>390</v>
      </c>
      <c r="E14" s="296" t="s">
        <v>387</v>
      </c>
      <c r="F14" s="81"/>
      <c r="G14" s="81">
        <v>15</v>
      </c>
      <c r="H14" s="297">
        <v>621.73299999999995</v>
      </c>
      <c r="I14" s="298">
        <f t="shared" si="1"/>
        <v>9326</v>
      </c>
      <c r="J14" s="299">
        <v>0</v>
      </c>
      <c r="K14" s="299">
        <f t="shared" si="0"/>
        <v>1169.01</v>
      </c>
      <c r="L14" s="299">
        <v>0</v>
      </c>
      <c r="M14" s="301">
        <f t="shared" si="4"/>
        <v>1169.01</v>
      </c>
      <c r="N14" s="302">
        <f t="shared" si="5"/>
        <v>8156.99</v>
      </c>
      <c r="O14" s="303"/>
    </row>
    <row r="15" spans="1:15" s="29" customFormat="1" ht="30" customHeight="1" x14ac:dyDescent="0.2">
      <c r="A15" s="5"/>
      <c r="B15" s="294">
        <v>7</v>
      </c>
      <c r="C15" s="295"/>
      <c r="D15" s="296" t="s">
        <v>391</v>
      </c>
      <c r="E15" s="296" t="s">
        <v>387</v>
      </c>
      <c r="F15" s="81"/>
      <c r="G15" s="81">
        <v>15</v>
      </c>
      <c r="H15" s="297">
        <v>621.73299999999995</v>
      </c>
      <c r="I15" s="298">
        <f t="shared" si="1"/>
        <v>9326</v>
      </c>
      <c r="J15" s="299">
        <v>0</v>
      </c>
      <c r="K15" s="299">
        <f t="shared" si="0"/>
        <v>1169.01</v>
      </c>
      <c r="L15" s="299">
        <v>0</v>
      </c>
      <c r="M15" s="301">
        <f t="shared" si="4"/>
        <v>1169.01</v>
      </c>
      <c r="N15" s="302">
        <f t="shared" si="5"/>
        <v>8156.99</v>
      </c>
      <c r="O15" s="303"/>
    </row>
    <row r="16" spans="1:15" s="29" customFormat="1" ht="30" customHeight="1" x14ac:dyDescent="0.2">
      <c r="A16" s="5"/>
      <c r="B16" s="294">
        <v>8</v>
      </c>
      <c r="C16" s="295"/>
      <c r="D16" s="296" t="s">
        <v>392</v>
      </c>
      <c r="E16" s="296" t="s">
        <v>387</v>
      </c>
      <c r="F16" s="81"/>
      <c r="G16" s="81">
        <v>15</v>
      </c>
      <c r="H16" s="297">
        <v>621.73299999999995</v>
      </c>
      <c r="I16" s="298">
        <f t="shared" si="1"/>
        <v>9326</v>
      </c>
      <c r="J16" s="299">
        <v>0</v>
      </c>
      <c r="K16" s="299">
        <f t="shared" si="0"/>
        <v>1169.01</v>
      </c>
      <c r="L16" s="299">
        <v>0</v>
      </c>
      <c r="M16" s="301">
        <f t="shared" si="4"/>
        <v>1169.01</v>
      </c>
      <c r="N16" s="302">
        <f t="shared" si="5"/>
        <v>8156.99</v>
      </c>
      <c r="O16" s="303"/>
    </row>
    <row r="17" spans="1:15" s="29" customFormat="1" ht="30" customHeight="1" x14ac:dyDescent="0.2">
      <c r="A17" s="5"/>
      <c r="B17" s="294">
        <v>9</v>
      </c>
      <c r="C17" s="295"/>
      <c r="D17" s="296" t="s">
        <v>393</v>
      </c>
      <c r="E17" s="296" t="s">
        <v>387</v>
      </c>
      <c r="F17" s="257"/>
      <c r="G17" s="81">
        <v>15</v>
      </c>
      <c r="H17" s="297">
        <v>621.73299999999995</v>
      </c>
      <c r="I17" s="298">
        <f t="shared" si="1"/>
        <v>9326</v>
      </c>
      <c r="J17" s="299">
        <v>0</v>
      </c>
      <c r="K17" s="299">
        <f t="shared" si="0"/>
        <v>1169.01</v>
      </c>
      <c r="L17" s="299">
        <v>0</v>
      </c>
      <c r="M17" s="301">
        <f t="shared" si="4"/>
        <v>1169.01</v>
      </c>
      <c r="N17" s="302">
        <f t="shared" si="5"/>
        <v>8156.99</v>
      </c>
      <c r="O17" s="303"/>
    </row>
    <row r="18" spans="1:15" s="29" customFormat="1" ht="30" customHeight="1" x14ac:dyDescent="0.2">
      <c r="A18" s="5"/>
      <c r="B18" s="294">
        <v>10</v>
      </c>
      <c r="C18" s="295"/>
      <c r="D18" s="296" t="s">
        <v>394</v>
      </c>
      <c r="E18" s="296" t="s">
        <v>387</v>
      </c>
      <c r="F18" s="81"/>
      <c r="G18" s="81">
        <v>15</v>
      </c>
      <c r="H18" s="297">
        <v>621.73299999999995</v>
      </c>
      <c r="I18" s="298">
        <f t="shared" si="1"/>
        <v>9326</v>
      </c>
      <c r="J18" s="299">
        <v>0</v>
      </c>
      <c r="K18" s="299">
        <f t="shared" si="0"/>
        <v>1169.01</v>
      </c>
      <c r="L18" s="299">
        <v>0</v>
      </c>
      <c r="M18" s="301">
        <f t="shared" si="4"/>
        <v>1169.01</v>
      </c>
      <c r="N18" s="302">
        <f t="shared" si="5"/>
        <v>8156.99</v>
      </c>
      <c r="O18" s="303"/>
    </row>
    <row r="19" spans="1:15" s="29" customFormat="1" ht="30" customHeight="1" x14ac:dyDescent="0.2">
      <c r="A19" s="5"/>
      <c r="B19" s="294">
        <v>11</v>
      </c>
      <c r="C19" s="295"/>
      <c r="D19" s="296" t="s">
        <v>395</v>
      </c>
      <c r="E19" s="296" t="s">
        <v>396</v>
      </c>
      <c r="F19" s="81"/>
      <c r="G19" s="81">
        <v>15</v>
      </c>
      <c r="H19" s="297">
        <v>621.73299999999995</v>
      </c>
      <c r="I19" s="298">
        <f t="shared" si="1"/>
        <v>9326</v>
      </c>
      <c r="J19" s="299">
        <v>0</v>
      </c>
      <c r="K19" s="299">
        <f t="shared" si="0"/>
        <v>1169.01</v>
      </c>
      <c r="L19" s="299">
        <v>0</v>
      </c>
      <c r="M19" s="301">
        <f t="shared" si="4"/>
        <v>1169.01</v>
      </c>
      <c r="N19" s="302">
        <f t="shared" si="5"/>
        <v>8156.99</v>
      </c>
      <c r="O19" s="303"/>
    </row>
    <row r="20" spans="1:15" s="293" customFormat="1" x14ac:dyDescent="0.2">
      <c r="A20" s="5"/>
      <c r="B20" s="380" t="s">
        <v>17</v>
      </c>
      <c r="C20" s="381"/>
      <c r="D20" s="381"/>
      <c r="E20" s="381"/>
      <c r="F20" s="381"/>
      <c r="G20" s="381"/>
      <c r="H20" s="271"/>
      <c r="I20" s="304">
        <f t="shared" ref="I20:O20" si="6">SUM(I10:I19)</f>
        <v>93260</v>
      </c>
      <c r="J20" s="305">
        <f t="shared" si="6"/>
        <v>0</v>
      </c>
      <c r="K20" s="304">
        <f t="shared" si="6"/>
        <v>11690.1</v>
      </c>
      <c r="L20" s="304">
        <f>SUM(L10:L19)</f>
        <v>0</v>
      </c>
      <c r="M20" s="304">
        <f>SUM(M10:M19)</f>
        <v>11690.1</v>
      </c>
      <c r="N20" s="304">
        <f>SUM(N10:N19)</f>
        <v>81569.899999999994</v>
      </c>
      <c r="O20" s="306">
        <f t="shared" si="6"/>
        <v>0</v>
      </c>
    </row>
    <row r="21" spans="1:15" x14ac:dyDescent="0.2">
      <c r="B21" s="307"/>
      <c r="C21" s="44"/>
      <c r="D21" s="44"/>
      <c r="E21" s="44"/>
      <c r="F21" s="44"/>
      <c r="G21" s="44"/>
      <c r="H21" s="44"/>
      <c r="I21" s="308"/>
      <c r="J21" s="44"/>
      <c r="K21" s="44"/>
      <c r="L21" s="44"/>
      <c r="M21" s="44"/>
      <c r="N21" s="44"/>
      <c r="O21" s="309"/>
    </row>
    <row r="22" spans="1:15" x14ac:dyDescent="0.2">
      <c r="B22" s="307"/>
      <c r="C22" s="44"/>
      <c r="D22" s="44"/>
      <c r="E22" s="44"/>
      <c r="F22" s="44"/>
      <c r="G22" s="44"/>
      <c r="H22" s="44"/>
      <c r="I22" s="308"/>
      <c r="J22" s="44"/>
      <c r="K22" s="44"/>
      <c r="L22" s="44"/>
      <c r="M22" s="44"/>
      <c r="N22" s="44"/>
      <c r="O22" s="309"/>
    </row>
    <row r="23" spans="1:15" x14ac:dyDescent="0.2">
      <c r="B23" s="307"/>
      <c r="C23" s="44"/>
      <c r="D23" s="44"/>
      <c r="E23" s="44"/>
      <c r="F23" s="44"/>
      <c r="G23" s="44"/>
      <c r="H23" s="44"/>
      <c r="I23" s="308"/>
      <c r="J23" s="44"/>
      <c r="K23" s="44"/>
      <c r="L23" s="44"/>
      <c r="M23" s="44"/>
      <c r="N23" s="44"/>
      <c r="O23" s="309"/>
    </row>
    <row r="24" spans="1:15" x14ac:dyDescent="0.2">
      <c r="B24" s="307"/>
      <c r="C24" s="44"/>
      <c r="D24" s="44"/>
      <c r="E24" s="44"/>
      <c r="F24" s="44"/>
      <c r="G24" s="44"/>
      <c r="H24" s="44"/>
      <c r="I24" s="308"/>
      <c r="J24" s="44"/>
      <c r="K24" s="44"/>
      <c r="L24" s="44"/>
      <c r="M24" s="44"/>
      <c r="N24" s="44"/>
      <c r="O24" s="309"/>
    </row>
    <row r="25" spans="1:15" x14ac:dyDescent="0.2">
      <c r="B25" s="307"/>
      <c r="C25" s="44"/>
      <c r="D25" s="44"/>
      <c r="E25" s="44"/>
      <c r="F25" s="44"/>
      <c r="G25" s="44"/>
      <c r="H25" s="44"/>
      <c r="I25" s="308"/>
      <c r="J25" s="44"/>
      <c r="K25" s="44"/>
      <c r="L25" s="44"/>
      <c r="M25" s="44"/>
      <c r="N25" s="44"/>
      <c r="O25" s="310"/>
    </row>
    <row r="26" spans="1:15" ht="13.5" x14ac:dyDescent="0.2">
      <c r="B26" s="91"/>
      <c r="D26" s="90" t="s">
        <v>481</v>
      </c>
      <c r="M26" s="90" t="s">
        <v>303</v>
      </c>
      <c r="N26" s="90"/>
      <c r="O26" s="89"/>
    </row>
    <row r="27" spans="1:15" ht="12.75" customHeight="1" x14ac:dyDescent="0.2">
      <c r="B27" s="91"/>
      <c r="D27" s="382" t="s">
        <v>302</v>
      </c>
      <c r="E27" s="382"/>
      <c r="M27" s="382" t="s">
        <v>304</v>
      </c>
      <c r="N27" s="382"/>
      <c r="O27" s="383"/>
    </row>
    <row r="28" spans="1:15" ht="13.5" thickBot="1" x14ac:dyDescent="0.25">
      <c r="B28" s="92"/>
      <c r="C28" s="93"/>
      <c r="D28" s="311"/>
      <c r="E28" s="93"/>
      <c r="F28" s="93"/>
      <c r="G28" s="93"/>
      <c r="H28" s="93"/>
      <c r="I28" s="94"/>
      <c r="J28" s="93"/>
      <c r="K28" s="93"/>
      <c r="L28" s="93"/>
      <c r="M28" s="93"/>
      <c r="N28" s="93"/>
      <c r="O28" s="312"/>
    </row>
    <row r="31" spans="1:15" x14ac:dyDescent="0.2">
      <c r="M31" s="5" t="s">
        <v>91</v>
      </c>
      <c r="N31" s="314">
        <f>N10</f>
        <v>8156.99</v>
      </c>
    </row>
    <row r="32" spans="1:15" x14ac:dyDescent="0.2">
      <c r="M32" s="5" t="s">
        <v>92</v>
      </c>
      <c r="N32" s="314">
        <f>N11+N12+N13+N14+N15+N16+N17+N18+N19</f>
        <v>73412.909999999989</v>
      </c>
    </row>
    <row r="34" spans="4:14" x14ac:dyDescent="0.2">
      <c r="M34" s="5" t="s">
        <v>311</v>
      </c>
      <c r="N34" s="314">
        <f>N32+N31</f>
        <v>81569.899999999994</v>
      </c>
    </row>
    <row r="36" spans="4:14" x14ac:dyDescent="0.2">
      <c r="M36" s="5" t="s">
        <v>312</v>
      </c>
      <c r="N36" s="32">
        <f>N34-N20</f>
        <v>0</v>
      </c>
    </row>
    <row r="40" spans="4:14" x14ac:dyDescent="0.2">
      <c r="D40" s="313" t="s">
        <v>397</v>
      </c>
      <c r="E40" s="315">
        <f>N34+BASE!M110+EVENTUALES!L155+PENSIONADOS!AJ24+'Apoyos '!H22+'Apoyos '!H54</f>
        <v>602767.13000000012</v>
      </c>
      <c r="K40" s="5" t="s">
        <v>398</v>
      </c>
      <c r="N40" s="315">
        <f>N31+BASE!M108+EVENTUALES!L153+PENSIONADOS!AJ24+'Apoyos '!H22+'Apoyos '!H54+'SEG. PUBLICA'!M47+PROT.CIVIL!M40</f>
        <v>389819.44</v>
      </c>
    </row>
    <row r="42" spans="4:14" x14ac:dyDescent="0.2">
      <c r="D42" s="313" t="s">
        <v>399</v>
      </c>
      <c r="E42" s="315">
        <f>'SEG. PUBLICA'!M50+PROT.CIVIL!M43</f>
        <v>247665.38</v>
      </c>
      <c r="K42" s="5" t="s">
        <v>400</v>
      </c>
      <c r="N42" s="315">
        <f>N32+BASE!M109+EVENTUALES!L154+'SEG. PUBLICA'!M49+PROT.CIVIL!M42</f>
        <v>460613.07</v>
      </c>
    </row>
    <row r="44" spans="4:14" x14ac:dyDescent="0.2">
      <c r="D44" s="313" t="s">
        <v>134</v>
      </c>
      <c r="E44" s="315">
        <f>E40+E42</f>
        <v>850432.51000000013</v>
      </c>
      <c r="K44" s="5" t="s">
        <v>134</v>
      </c>
      <c r="N44" s="315">
        <f>SUM(N40:N43)</f>
        <v>850432.51</v>
      </c>
    </row>
  </sheetData>
  <mergeCells count="6">
    <mergeCell ref="E2:O2"/>
    <mergeCell ref="E4:F4"/>
    <mergeCell ref="G8:M8"/>
    <mergeCell ref="B20:G20"/>
    <mergeCell ref="D27:E27"/>
    <mergeCell ref="M27:O27"/>
  </mergeCells>
  <pageMargins left="0.70866141732283472" right="0.70866141732283472" top="0.74803149606299213" bottom="0.15748031496062992" header="0.31496062992125984" footer="0.11811023622047245"/>
  <pageSetup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2"/>
  <sheetViews>
    <sheetView showGridLines="0" topLeftCell="A84" zoomScaleNormal="100" workbookViewId="0">
      <selection activeCell="F96" sqref="F96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270" t="s">
        <v>28</v>
      </c>
      <c r="C1" s="205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20.25" x14ac:dyDescent="0.2">
      <c r="B2" s="133"/>
      <c r="C2" s="206"/>
      <c r="D2" s="77"/>
      <c r="E2" s="384" t="s">
        <v>308</v>
      </c>
      <c r="F2" s="384"/>
      <c r="G2" s="384"/>
      <c r="H2" s="384"/>
      <c r="I2" s="384"/>
      <c r="J2" s="384"/>
      <c r="K2" s="384"/>
      <c r="L2" s="134"/>
      <c r="M2" s="134"/>
      <c r="N2" s="135"/>
    </row>
    <row r="3" spans="1:14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</row>
    <row r="4" spans="1:14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</row>
    <row r="5" spans="1:14" ht="18" customHeight="1" x14ac:dyDescent="0.2">
      <c r="B5" s="137"/>
      <c r="C5" s="39"/>
      <c r="D5" s="77"/>
      <c r="E5" s="385" t="s">
        <v>309</v>
      </c>
      <c r="F5" s="385"/>
      <c r="G5" s="385"/>
      <c r="H5" s="385"/>
      <c r="I5" s="385"/>
      <c r="J5" s="385"/>
      <c r="K5" s="385"/>
      <c r="L5" s="386"/>
      <c r="M5" s="386"/>
      <c r="N5" s="387"/>
    </row>
    <row r="6" spans="1:14" ht="18" customHeight="1" x14ac:dyDescent="0.2">
      <c r="B6" s="137"/>
      <c r="C6" s="39"/>
      <c r="D6" s="77"/>
      <c r="E6" s="141"/>
      <c r="F6" s="141"/>
      <c r="G6" s="141"/>
      <c r="H6" s="141"/>
      <c r="I6" s="141"/>
      <c r="J6" s="149"/>
      <c r="K6" s="149"/>
      <c r="L6" s="142"/>
      <c r="M6" s="142"/>
      <c r="N6" s="143"/>
    </row>
    <row r="7" spans="1:14" ht="18" customHeight="1" thickBot="1" x14ac:dyDescent="0.25">
      <c r="B7" s="137"/>
      <c r="C7" s="39"/>
      <c r="D7" s="390" t="s">
        <v>491</v>
      </c>
      <c r="E7" s="390"/>
      <c r="F7" s="390"/>
      <c r="G7" s="390"/>
      <c r="H7" s="390"/>
      <c r="I7" s="390"/>
      <c r="J7" s="390"/>
      <c r="K7" s="149"/>
      <c r="L7" s="142"/>
      <c r="M7" s="142"/>
      <c r="N7" s="143"/>
    </row>
    <row r="8" spans="1:14" s="27" customFormat="1" ht="36" x14ac:dyDescent="0.2">
      <c r="A8" s="28"/>
      <c r="B8" s="103" t="s">
        <v>301</v>
      </c>
      <c r="C8" s="207" t="s">
        <v>361</v>
      </c>
      <c r="D8" s="104" t="s">
        <v>14</v>
      </c>
      <c r="E8" s="104" t="s">
        <v>295</v>
      </c>
      <c r="F8" s="104" t="s">
        <v>296</v>
      </c>
      <c r="G8" s="104" t="s">
        <v>299</v>
      </c>
      <c r="H8" s="104" t="s">
        <v>300</v>
      </c>
      <c r="I8" s="105" t="s">
        <v>297</v>
      </c>
      <c r="J8" s="104" t="s">
        <v>313</v>
      </c>
      <c r="K8" s="104" t="s">
        <v>314</v>
      </c>
      <c r="L8" s="106" t="s">
        <v>298</v>
      </c>
      <c r="M8" s="107" t="s">
        <v>294</v>
      </c>
      <c r="N8" s="108" t="s">
        <v>305</v>
      </c>
    </row>
    <row r="9" spans="1:14" s="29" customFormat="1" ht="30" customHeight="1" x14ac:dyDescent="0.2">
      <c r="A9" s="5"/>
      <c r="B9" s="109">
        <v>1</v>
      </c>
      <c r="C9" s="208"/>
      <c r="D9" s="95" t="s">
        <v>477</v>
      </c>
      <c r="E9" s="95" t="s">
        <v>88</v>
      </c>
      <c r="F9" s="81"/>
      <c r="G9" s="64">
        <v>15</v>
      </c>
      <c r="H9" s="96">
        <v>1484.2</v>
      </c>
      <c r="I9" s="97">
        <f t="shared" ref="I9:I13" si="0">ROUND(G9*H9,2)</f>
        <v>22263</v>
      </c>
      <c r="J9" s="152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0">
        <f t="shared" ref="K9:K13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98">
        <f t="shared" ref="L9:L12" si="2">K9</f>
        <v>4080.32</v>
      </c>
      <c r="M9" s="98">
        <f t="shared" ref="M9:M12" si="3">I9+J9-L9</f>
        <v>18182.68</v>
      </c>
      <c r="N9" s="110"/>
    </row>
    <row r="10" spans="1:14" s="29" customFormat="1" ht="30" customHeight="1" x14ac:dyDescent="0.2">
      <c r="A10" s="5"/>
      <c r="B10" s="109">
        <v>2</v>
      </c>
      <c r="C10" s="208" t="s">
        <v>361</v>
      </c>
      <c r="D10" s="95" t="s">
        <v>168</v>
      </c>
      <c r="E10" s="95" t="s">
        <v>109</v>
      </c>
      <c r="F10" s="362"/>
      <c r="G10" s="64">
        <v>15</v>
      </c>
      <c r="H10" s="96">
        <v>335.33300000000003</v>
      </c>
      <c r="I10" s="97">
        <f t="shared" si="0"/>
        <v>5030</v>
      </c>
      <c r="J10" s="152">
        <f t="shared" ref="J10:J12" si="4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50">
        <f t="shared" si="1"/>
        <v>390.8</v>
      </c>
      <c r="L10" s="98">
        <f t="shared" si="2"/>
        <v>390.8</v>
      </c>
      <c r="M10" s="98">
        <f t="shared" si="3"/>
        <v>4639.2</v>
      </c>
      <c r="N10" s="110"/>
    </row>
    <row r="11" spans="1:14" s="5" customFormat="1" ht="30" customHeight="1" x14ac:dyDescent="0.2">
      <c r="B11" s="109">
        <v>3</v>
      </c>
      <c r="C11" s="208"/>
      <c r="D11" s="95" t="s">
        <v>141</v>
      </c>
      <c r="E11" s="95" t="s">
        <v>127</v>
      </c>
      <c r="F11" s="64"/>
      <c r="G11" s="64">
        <v>15</v>
      </c>
      <c r="H11" s="96">
        <v>582.4</v>
      </c>
      <c r="I11" s="97">
        <f t="shared" si="0"/>
        <v>8736</v>
      </c>
      <c r="J11" s="152">
        <f t="shared" si="4"/>
        <v>0</v>
      </c>
      <c r="K11" s="150">
        <f t="shared" si="1"/>
        <v>1042.98</v>
      </c>
      <c r="L11" s="98">
        <f t="shared" si="2"/>
        <v>1042.98</v>
      </c>
      <c r="M11" s="98">
        <f t="shared" si="3"/>
        <v>7693.02</v>
      </c>
      <c r="N11" s="110"/>
    </row>
    <row r="12" spans="1:14" s="27" customFormat="1" ht="30" customHeight="1" x14ac:dyDescent="0.2">
      <c r="A12" s="28"/>
      <c r="B12" s="109">
        <v>4</v>
      </c>
      <c r="C12" s="208"/>
      <c r="D12" s="95" t="s">
        <v>169</v>
      </c>
      <c r="E12" s="95" t="s">
        <v>82</v>
      </c>
      <c r="F12" s="362"/>
      <c r="G12" s="64">
        <v>15</v>
      </c>
      <c r="H12" s="96">
        <v>186.26650000000001</v>
      </c>
      <c r="I12" s="97">
        <f t="shared" si="0"/>
        <v>2794</v>
      </c>
      <c r="J12" s="152">
        <f t="shared" si="4"/>
        <v>0</v>
      </c>
      <c r="K12" s="150">
        <f t="shared" si="1"/>
        <v>0</v>
      </c>
      <c r="L12" s="146">
        <f t="shared" si="2"/>
        <v>0</v>
      </c>
      <c r="M12" s="98">
        <f t="shared" si="3"/>
        <v>2794</v>
      </c>
      <c r="N12" s="110"/>
    </row>
    <row r="13" spans="1:14" s="29" customFormat="1" ht="30" customHeight="1" x14ac:dyDescent="0.2">
      <c r="A13" s="5"/>
      <c r="B13" s="109">
        <v>5</v>
      </c>
      <c r="C13" s="208"/>
      <c r="D13" s="95" t="s">
        <v>170</v>
      </c>
      <c r="E13" s="95" t="s">
        <v>87</v>
      </c>
      <c r="F13" s="362"/>
      <c r="G13" s="64">
        <v>15</v>
      </c>
      <c r="H13" s="96">
        <v>314.60000000000002</v>
      </c>
      <c r="I13" s="97">
        <f t="shared" si="0"/>
        <v>4719</v>
      </c>
      <c r="J13" s="152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50">
        <f t="shared" si="1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2">
      <c r="A14" s="26"/>
      <c r="B14" s="111"/>
      <c r="C14" s="209"/>
      <c r="D14" s="73"/>
      <c r="E14" s="66" t="s">
        <v>117</v>
      </c>
      <c r="F14" s="388"/>
      <c r="G14" s="389"/>
      <c r="H14" s="65"/>
      <c r="I14" s="100">
        <f>SUM(I9:I13)</f>
        <v>43542</v>
      </c>
      <c r="J14" s="145">
        <f>SUM(J9:J13)</f>
        <v>0</v>
      </c>
      <c r="K14" s="100">
        <f>SUM(K9:K13)</f>
        <v>5871.06</v>
      </c>
      <c r="L14" s="100">
        <f>SUM(L9:L13)</f>
        <v>5871.06</v>
      </c>
      <c r="M14" s="100">
        <f>SUM(M9:M13)</f>
        <v>37670.94</v>
      </c>
      <c r="N14" s="112"/>
    </row>
    <row r="15" spans="1:14" s="27" customFormat="1" ht="30" customHeight="1" x14ac:dyDescent="0.2">
      <c r="A15" s="28"/>
      <c r="B15" s="391" t="s">
        <v>34</v>
      </c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3"/>
    </row>
    <row r="16" spans="1:14" s="29" customFormat="1" ht="30" customHeight="1" x14ac:dyDescent="0.2">
      <c r="A16" s="5"/>
      <c r="B16" s="109">
        <v>6</v>
      </c>
      <c r="C16" s="208"/>
      <c r="D16" s="101" t="s">
        <v>153</v>
      </c>
      <c r="E16" s="95" t="s">
        <v>77</v>
      </c>
      <c r="F16" s="363"/>
      <c r="G16" s="64">
        <v>15</v>
      </c>
      <c r="H16" s="96">
        <v>844.13300000000004</v>
      </c>
      <c r="I16" s="97">
        <f>ROUND(G16*H16,2)</f>
        <v>12662</v>
      </c>
      <c r="J16" s="150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50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2">
      <c r="A17" s="26"/>
      <c r="B17" s="111"/>
      <c r="C17" s="209"/>
      <c r="D17" s="73"/>
      <c r="E17" s="66" t="s">
        <v>33</v>
      </c>
      <c r="F17" s="66"/>
      <c r="G17" s="66"/>
      <c r="H17" s="102"/>
      <c r="I17" s="100">
        <f>SUM(I16:I16)</f>
        <v>12662</v>
      </c>
      <c r="J17" s="145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">
      <c r="B18" s="391" t="s">
        <v>78</v>
      </c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3"/>
    </row>
    <row r="19" spans="1:97" ht="30" customHeight="1" x14ac:dyDescent="0.2">
      <c r="B19" s="109">
        <v>7</v>
      </c>
      <c r="C19" s="208"/>
      <c r="D19" s="101" t="s">
        <v>171</v>
      </c>
      <c r="E19" s="95" t="s">
        <v>35</v>
      </c>
      <c r="F19" s="362"/>
      <c r="G19" s="64">
        <v>15</v>
      </c>
      <c r="H19" s="96">
        <v>416</v>
      </c>
      <c r="I19" s="97">
        <f>ROUND(G19*H19,2)</f>
        <v>6240</v>
      </c>
      <c r="J19" s="150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50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">
      <c r="B20" s="109">
        <v>8</v>
      </c>
      <c r="C20" s="208"/>
      <c r="D20" s="101" t="s">
        <v>172</v>
      </c>
      <c r="E20" s="95" t="s">
        <v>42</v>
      </c>
      <c r="F20" s="362"/>
      <c r="G20" s="64">
        <v>15</v>
      </c>
      <c r="H20" s="96">
        <v>285.06650000000002</v>
      </c>
      <c r="I20" s="97">
        <f>ROUND(G20*H20,2)</f>
        <v>4276</v>
      </c>
      <c r="J20" s="150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50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308.77</v>
      </c>
      <c r="L20" s="98">
        <f>K20</f>
        <v>308.77</v>
      </c>
      <c r="M20" s="98">
        <f>I20+J20-L20</f>
        <v>3967.23</v>
      </c>
      <c r="N20" s="113"/>
    </row>
    <row r="21" spans="1:97" s="5" customFormat="1" ht="30" customHeight="1" x14ac:dyDescent="0.2">
      <c r="B21" s="109"/>
      <c r="C21" s="208"/>
      <c r="D21" s="72"/>
      <c r="E21" s="66" t="s">
        <v>33</v>
      </c>
      <c r="F21" s="388"/>
      <c r="G21" s="389"/>
      <c r="H21" s="102"/>
      <c r="I21" s="100">
        <f>SUM(I19:I20)</f>
        <v>10516</v>
      </c>
      <c r="J21" s="145">
        <f>SUM(J19:J20)</f>
        <v>0</v>
      </c>
      <c r="K21" s="100">
        <f>SUM(K19:K20)</f>
        <v>869.57999999999993</v>
      </c>
      <c r="L21" s="100">
        <f>SUM(L19:L20)</f>
        <v>869.57999999999993</v>
      </c>
      <c r="M21" s="100">
        <f>SUM(M19:M20)</f>
        <v>9646.42</v>
      </c>
      <c r="N21" s="112"/>
    </row>
    <row r="22" spans="1:97" ht="30" customHeight="1" x14ac:dyDescent="0.2">
      <c r="B22" s="391" t="s">
        <v>36</v>
      </c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3"/>
    </row>
    <row r="23" spans="1:97" s="5" customFormat="1" ht="30" customHeight="1" x14ac:dyDescent="0.2">
      <c r="A23" s="5" t="s">
        <v>28</v>
      </c>
      <c r="B23" s="109">
        <v>9</v>
      </c>
      <c r="C23" s="208"/>
      <c r="D23" s="101" t="s">
        <v>173</v>
      </c>
      <c r="E23" s="95" t="s">
        <v>35</v>
      </c>
      <c r="F23" s="362"/>
      <c r="G23" s="64">
        <v>15</v>
      </c>
      <c r="H23" s="96">
        <v>315.13299999999998</v>
      </c>
      <c r="I23" s="97">
        <f>ROUND(G23*H23,2)</f>
        <v>4727</v>
      </c>
      <c r="J23" s="150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50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357.83</v>
      </c>
      <c r="L23" s="98">
        <f>K23</f>
        <v>357.83</v>
      </c>
      <c r="M23" s="98">
        <f>I23+J23-L23</f>
        <v>4369.17</v>
      </c>
      <c r="N23" s="113"/>
    </row>
    <row r="24" spans="1:97" ht="30" customHeight="1" x14ac:dyDescent="0.2">
      <c r="B24" s="109">
        <v>10</v>
      </c>
      <c r="C24" s="208"/>
      <c r="D24" s="101" t="s">
        <v>174</v>
      </c>
      <c r="E24" s="95" t="s">
        <v>37</v>
      </c>
      <c r="F24" s="362"/>
      <c r="G24" s="64">
        <v>15</v>
      </c>
      <c r="H24" s="96">
        <v>285.06650000000002</v>
      </c>
      <c r="I24" s="97">
        <f t="shared" ref="I24:I27" si="5">ROUND(G24*H24,2)</f>
        <v>4276</v>
      </c>
      <c r="J24" s="150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50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308.77</v>
      </c>
      <c r="L24" s="98">
        <f>K24</f>
        <v>308.77</v>
      </c>
      <c r="M24" s="98">
        <f>I24+J24-L24</f>
        <v>3967.23</v>
      </c>
      <c r="N24" s="113"/>
    </row>
    <row r="25" spans="1:97" ht="30" customHeight="1" x14ac:dyDescent="0.2">
      <c r="B25" s="109">
        <v>11</v>
      </c>
      <c r="C25" s="208"/>
      <c r="D25" s="101" t="s">
        <v>175</v>
      </c>
      <c r="E25" s="95" t="s">
        <v>38</v>
      </c>
      <c r="F25" s="362"/>
      <c r="G25" s="64">
        <v>15</v>
      </c>
      <c r="H25" s="96">
        <v>198.53299999999999</v>
      </c>
      <c r="I25" s="97">
        <f t="shared" si="5"/>
        <v>2978</v>
      </c>
      <c r="J25" s="150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50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6">
        <f>K25</f>
        <v>0</v>
      </c>
      <c r="M25" s="98">
        <f>I25+J25-L25</f>
        <v>2978</v>
      </c>
      <c r="N25" s="113"/>
    </row>
    <row r="26" spans="1:97" ht="30" customHeight="1" x14ac:dyDescent="0.2">
      <c r="B26" s="109">
        <v>12</v>
      </c>
      <c r="C26" s="208"/>
      <c r="D26" s="101" t="s">
        <v>176</v>
      </c>
      <c r="E26" s="95" t="s">
        <v>38</v>
      </c>
      <c r="F26" s="362"/>
      <c r="G26" s="64">
        <v>15</v>
      </c>
      <c r="H26" s="96">
        <v>198.53299999999999</v>
      </c>
      <c r="I26" s="97">
        <f t="shared" si="5"/>
        <v>2978</v>
      </c>
      <c r="J26" s="150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50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6">
        <f>K26</f>
        <v>0</v>
      </c>
      <c r="M26" s="98">
        <f>I26+J26-L26</f>
        <v>2978</v>
      </c>
      <c r="N26" s="113"/>
    </row>
    <row r="27" spans="1:97" ht="30" customHeight="1" x14ac:dyDescent="0.2">
      <c r="B27" s="109">
        <v>13</v>
      </c>
      <c r="C27" s="208"/>
      <c r="D27" s="101" t="s">
        <v>374</v>
      </c>
      <c r="E27" s="95" t="s">
        <v>38</v>
      </c>
      <c r="F27" s="362"/>
      <c r="G27" s="64">
        <v>15</v>
      </c>
      <c r="H27" s="96">
        <v>198.53299999999999</v>
      </c>
      <c r="I27" s="97">
        <f t="shared" si="5"/>
        <v>2978</v>
      </c>
      <c r="J27" s="150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50">
        <f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46">
        <f>K27</f>
        <v>0</v>
      </c>
      <c r="M27" s="98">
        <f>I27+J27-L27</f>
        <v>2978</v>
      </c>
      <c r="N27" s="113"/>
    </row>
    <row r="28" spans="1:97" ht="30" customHeight="1" x14ac:dyDescent="0.2">
      <c r="B28" s="109"/>
      <c r="C28" s="208"/>
      <c r="D28" s="72"/>
      <c r="E28" s="66" t="s">
        <v>33</v>
      </c>
      <c r="F28" s="388"/>
      <c r="G28" s="389"/>
      <c r="H28" s="102"/>
      <c r="I28" s="100">
        <f>SUM(I23:I27)</f>
        <v>17937</v>
      </c>
      <c r="J28" s="145">
        <v>0</v>
      </c>
      <c r="K28" s="100">
        <f>SUM(K23:K27)</f>
        <v>666.59999999999991</v>
      </c>
      <c r="L28" s="100">
        <f>SUM(L23:L27)</f>
        <v>666.59999999999991</v>
      </c>
      <c r="M28" s="100">
        <f>SUM(M23:M27)</f>
        <v>17270.400000000001</v>
      </c>
      <c r="N28" s="112"/>
    </row>
    <row r="29" spans="1:97" ht="30" customHeight="1" x14ac:dyDescent="0.2">
      <c r="B29" s="391" t="s">
        <v>151</v>
      </c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3"/>
    </row>
    <row r="30" spans="1:97" s="5" customFormat="1" ht="30" customHeight="1" x14ac:dyDescent="0.2">
      <c r="B30" s="109">
        <v>14</v>
      </c>
      <c r="C30" s="208"/>
      <c r="D30" s="101" t="s">
        <v>177</v>
      </c>
      <c r="E30" s="95" t="s">
        <v>161</v>
      </c>
      <c r="F30" s="64"/>
      <c r="G30" s="64">
        <v>15</v>
      </c>
      <c r="H30" s="96">
        <v>381.4665</v>
      </c>
      <c r="I30" s="97">
        <f t="shared" ref="I30:I31" si="6">ROUND(G30*H30,2)</f>
        <v>5722</v>
      </c>
      <c r="J30" s="150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50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477.93</v>
      </c>
      <c r="L30" s="98">
        <f>K30</f>
        <v>477.93</v>
      </c>
      <c r="M30" s="98">
        <f>I30+J30-L30</f>
        <v>5244.07</v>
      </c>
      <c r="N30" s="113"/>
    </row>
    <row r="31" spans="1:97" s="79" customFormat="1" ht="30" customHeight="1" x14ac:dyDescent="0.2">
      <c r="A31" s="5"/>
      <c r="B31" s="109">
        <v>15</v>
      </c>
      <c r="C31" s="208" t="s">
        <v>361</v>
      </c>
      <c r="D31" s="101" t="s">
        <v>164</v>
      </c>
      <c r="E31" s="95" t="s">
        <v>42</v>
      </c>
      <c r="F31" s="64"/>
      <c r="G31" s="64">
        <v>15</v>
      </c>
      <c r="H31" s="98">
        <v>228.733</v>
      </c>
      <c r="I31" s="97">
        <f t="shared" si="6"/>
        <v>3431</v>
      </c>
      <c r="J31" s="150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50">
        <f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0</v>
      </c>
      <c r="L31" s="98">
        <f>K31</f>
        <v>0</v>
      </c>
      <c r="M31" s="98">
        <f>I31+J31-L31</f>
        <v>3431</v>
      </c>
      <c r="N31" s="11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09"/>
      <c r="C32" s="208"/>
      <c r="D32" s="72"/>
      <c r="E32" s="66" t="s">
        <v>33</v>
      </c>
      <c r="F32" s="388"/>
      <c r="G32" s="389"/>
      <c r="H32" s="65"/>
      <c r="I32" s="100">
        <f>SUM(I30:I31)</f>
        <v>9153</v>
      </c>
      <c r="J32" s="145">
        <f>SUM(J30:J31)</f>
        <v>0</v>
      </c>
      <c r="K32" s="100">
        <f>SUM(K30:K31)</f>
        <v>477.93</v>
      </c>
      <c r="L32" s="100">
        <f>SUM(L30:L31)</f>
        <v>477.93</v>
      </c>
      <c r="M32" s="100">
        <f>SUM(M30:M31)</f>
        <v>8675.07</v>
      </c>
      <c r="N32" s="112"/>
    </row>
    <row r="33" spans="1:97" ht="30" customHeight="1" x14ac:dyDescent="0.2">
      <c r="B33" s="397" t="s">
        <v>39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9"/>
    </row>
    <row r="34" spans="1:97" s="79" customFormat="1" ht="30" customHeight="1" x14ac:dyDescent="0.2">
      <c r="A34" s="5"/>
      <c r="B34" s="109">
        <v>16</v>
      </c>
      <c r="C34" s="208" t="s">
        <v>361</v>
      </c>
      <c r="D34" s="101" t="s">
        <v>288</v>
      </c>
      <c r="E34" s="95" t="s">
        <v>289</v>
      </c>
      <c r="F34" s="364"/>
      <c r="G34" s="64">
        <v>15</v>
      </c>
      <c r="H34" s="98">
        <v>315.13299999999998</v>
      </c>
      <c r="I34" s="97">
        <f t="shared" ref="I34:I37" si="7">ROUND(G34*H34,2)</f>
        <v>4727</v>
      </c>
      <c r="J34" s="150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0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357.83</v>
      </c>
      <c r="L34" s="98">
        <f>K34</f>
        <v>357.83</v>
      </c>
      <c r="M34" s="98">
        <f>I34+J34-L34</f>
        <v>4369.17</v>
      </c>
      <c r="N34" s="11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09">
        <v>17</v>
      </c>
      <c r="C35" s="208"/>
      <c r="D35" s="101" t="s">
        <v>178</v>
      </c>
      <c r="E35" s="95" t="s">
        <v>41</v>
      </c>
      <c r="F35" s="365"/>
      <c r="G35" s="64">
        <v>15</v>
      </c>
      <c r="H35" s="98">
        <v>173.333</v>
      </c>
      <c r="I35" s="97">
        <f t="shared" si="7"/>
        <v>2600</v>
      </c>
      <c r="J35" s="9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10.39</v>
      </c>
      <c r="K35" s="146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46">
        <f>K35</f>
        <v>0</v>
      </c>
      <c r="M35" s="98">
        <f>I35+J35-L35</f>
        <v>2610.39</v>
      </c>
      <c r="N35" s="113"/>
    </row>
    <row r="36" spans="1:97" s="80" customFormat="1" ht="30" customHeight="1" x14ac:dyDescent="0.2">
      <c r="A36" s="28"/>
      <c r="B36" s="109">
        <v>18</v>
      </c>
      <c r="C36" s="208" t="s">
        <v>361</v>
      </c>
      <c r="D36" s="101" t="s">
        <v>179</v>
      </c>
      <c r="E36" s="95" t="s">
        <v>111</v>
      </c>
      <c r="F36" s="365"/>
      <c r="G36" s="64">
        <v>15</v>
      </c>
      <c r="H36" s="98">
        <v>222.06649999999999</v>
      </c>
      <c r="I36" s="97">
        <f t="shared" si="7"/>
        <v>3331</v>
      </c>
      <c r="J36" s="15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50">
        <f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98">
        <f>K36</f>
        <v>0</v>
      </c>
      <c r="M36" s="98">
        <f>I36+J36-L36</f>
        <v>3331</v>
      </c>
      <c r="N36" s="113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09">
        <v>19</v>
      </c>
      <c r="C37" s="208"/>
      <c r="D37" s="101" t="s">
        <v>180</v>
      </c>
      <c r="E37" s="95" t="s">
        <v>118</v>
      </c>
      <c r="F37" s="365"/>
      <c r="G37" s="64">
        <v>15</v>
      </c>
      <c r="H37" s="98">
        <v>211.6</v>
      </c>
      <c r="I37" s="97">
        <f t="shared" si="7"/>
        <v>3174</v>
      </c>
      <c r="J37" s="144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0</v>
      </c>
      <c r="K37" s="150">
        <f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46">
        <f>K37</f>
        <v>0</v>
      </c>
      <c r="M37" s="98">
        <f>I37+J37-L37</f>
        <v>3174</v>
      </c>
      <c r="N37" s="113"/>
    </row>
    <row r="38" spans="1:97" ht="30" customHeight="1" x14ac:dyDescent="0.2">
      <c r="B38" s="109"/>
      <c r="C38" s="208"/>
      <c r="D38" s="72"/>
      <c r="E38" s="66" t="s">
        <v>33</v>
      </c>
      <c r="F38" s="388"/>
      <c r="G38" s="389"/>
      <c r="H38" s="211"/>
      <c r="I38" s="100">
        <f>SUM(I34:I37)</f>
        <v>13832</v>
      </c>
      <c r="J38" s="100">
        <f>SUM(J34:J37)</f>
        <v>10.39</v>
      </c>
      <c r="K38" s="100">
        <f>SUM(K34:K37)</f>
        <v>357.83</v>
      </c>
      <c r="L38" s="100">
        <f>SUM(L34:L37)</f>
        <v>357.83</v>
      </c>
      <c r="M38" s="100">
        <f>SUM(M34:M37)</f>
        <v>13484.56</v>
      </c>
      <c r="N38" s="112"/>
    </row>
    <row r="39" spans="1:97" ht="30" customHeight="1" x14ac:dyDescent="0.2">
      <c r="B39" s="394" t="s">
        <v>76</v>
      </c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6"/>
    </row>
    <row r="40" spans="1:97" s="5" customFormat="1" ht="30" customHeight="1" x14ac:dyDescent="0.2">
      <c r="B40" s="109">
        <v>20</v>
      </c>
      <c r="C40" s="208"/>
      <c r="D40" s="99" t="s">
        <v>181</v>
      </c>
      <c r="E40" s="95" t="s">
        <v>94</v>
      </c>
      <c r="F40" s="64"/>
      <c r="G40" s="64">
        <v>15</v>
      </c>
      <c r="H40" s="98">
        <v>381.4665</v>
      </c>
      <c r="I40" s="97">
        <f t="shared" ref="I40:I41" si="8">ROUND(G40*H40,2)</f>
        <v>5722</v>
      </c>
      <c r="J40" s="150">
        <f>IFERROR(IF(ROUND((((I40/G40*30.4)-VLOOKUP((I40/G40*30.4),TARIFA,1))*VLOOKUP((I40/G40*30.4),TARIFA,3)+VLOOKUP((I40/G40*30.4),TARIFA,2)-VLOOKUP((I40/G40*30.4),SUBSIDIO,2))/30.4*G40,2)&lt;0,ROUND(-(((I40/G40*30.4)-VLOOKUP((I40/G40*30.4),TARIFA,1))*VLOOKUP((I40/G40*30.4),TARIFA,3)+VLOOKUP((I40/G40*30.4),TARIFA,2)-VLOOKUP((I40/G40*30.4),SUBSIDIO,2))/30.4*G40,2),0),0)</f>
        <v>0</v>
      </c>
      <c r="K40" s="150">
        <f>IF(H40&lt;=248.93,0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477.93</v>
      </c>
      <c r="L40" s="146">
        <f>K40</f>
        <v>477.93</v>
      </c>
      <c r="M40" s="98">
        <f>I40+J40-L40</f>
        <v>5244.07</v>
      </c>
      <c r="N40" s="113"/>
    </row>
    <row r="41" spans="1:97" ht="30" customHeight="1" x14ac:dyDescent="0.2">
      <c r="B41" s="109">
        <v>21</v>
      </c>
      <c r="C41" s="208"/>
      <c r="D41" s="101" t="s">
        <v>182</v>
      </c>
      <c r="E41" s="95" t="s">
        <v>96</v>
      </c>
      <c r="F41" s="362"/>
      <c r="G41" s="64">
        <v>15</v>
      </c>
      <c r="H41" s="98">
        <v>315.13299999999998</v>
      </c>
      <c r="I41" s="97">
        <f t="shared" si="8"/>
        <v>4727</v>
      </c>
      <c r="J41" s="150">
        <f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150">
        <f>IF(H41&lt;=248.93,0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357.83</v>
      </c>
      <c r="L41" s="146">
        <f>K41</f>
        <v>357.83</v>
      </c>
      <c r="M41" s="98">
        <f>I41+J41-L41</f>
        <v>4369.17</v>
      </c>
      <c r="N41" s="113"/>
    </row>
    <row r="42" spans="1:97" ht="30" customHeight="1" x14ac:dyDescent="0.2">
      <c r="B42" s="109"/>
      <c r="C42" s="208"/>
      <c r="D42" s="72"/>
      <c r="E42" s="66" t="s">
        <v>33</v>
      </c>
      <c r="F42" s="388"/>
      <c r="G42" s="389"/>
      <c r="H42" s="211"/>
      <c r="I42" s="100">
        <f>SUM(I40:I41)</f>
        <v>10449</v>
      </c>
      <c r="J42" s="145">
        <f>SUM(J40:J41)</f>
        <v>0</v>
      </c>
      <c r="K42" s="100">
        <f>SUM(K40:K41)</f>
        <v>835.76</v>
      </c>
      <c r="L42" s="100">
        <f>SUM(L40:L41)</f>
        <v>835.76</v>
      </c>
      <c r="M42" s="100">
        <f>SUM(M40:M41)</f>
        <v>9613.24</v>
      </c>
      <c r="N42" s="112"/>
    </row>
    <row r="43" spans="1:97" ht="30" customHeight="1" x14ac:dyDescent="0.2">
      <c r="B43" s="400" t="s">
        <v>43</v>
      </c>
      <c r="C43" s="401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3"/>
    </row>
    <row r="44" spans="1:97" s="5" customFormat="1" ht="30" customHeight="1" x14ac:dyDescent="0.2">
      <c r="B44" s="109">
        <v>22</v>
      </c>
      <c r="C44" s="208"/>
      <c r="D44" s="101" t="s">
        <v>183</v>
      </c>
      <c r="E44" s="95" t="s">
        <v>35</v>
      </c>
      <c r="F44" s="362"/>
      <c r="G44" s="64">
        <v>15</v>
      </c>
      <c r="H44" s="98">
        <v>315.13299999999998</v>
      </c>
      <c r="I44" s="97">
        <f t="shared" ref="I44:I45" si="9">ROUND(G44*H44,2)</f>
        <v>4727</v>
      </c>
      <c r="J44" s="152">
        <f>IFERROR(IF(ROUND((((I44/G44*30.4)-VLOOKUP((I44/G44*30.4),TARIFA,1))*VLOOKUP((I44/G44*30.4),TARIFA,3)+VLOOKUP((I44/G44*30.4),TARIFA,2)-VLOOKUP((I44/G44*30.4),SUBSIDIO,2))/30.4*G44,2)&lt;0,ROUND(-(((I44/G44*30.4)-VLOOKUP((I44/G44*30.4),TARIFA,1))*VLOOKUP((I44/G44*30.4),TARIFA,3)+VLOOKUP((I44/G44*30.4),TARIFA,2)-VLOOKUP((I44/G44*30.4),SUBSIDIO,2))/30.4*G44,2),0),0)</f>
        <v>0</v>
      </c>
      <c r="K44" s="150">
        <f>IF(H44&lt;=248.93,0,(IFERROR(IF(ROUND((((I44/G44*30.4)-VLOOKUP((I44/G44*30.4),TARIFA,1))*VLOOKUP((I44/G44*30.4),TARIFA,3)+VLOOKUP((I44/G44*30.4),TARIFA,2)-VLOOKUP((I44/G44*30.4),SUBSIDIO,2))/30.4*G44,2)&gt;0,ROUND((((I44/G44*30.4)-VLOOKUP((I44/G44*30.4),TARIFA,1))*VLOOKUP((I44/G44*30.4),TARIFA,3)+VLOOKUP((I44/G44*30.4),TARIFA,2)-VLOOKUP((I44/G44*30.4),SUBSIDIO,2))/30.4*G44,2),0),0)))</f>
        <v>357.83</v>
      </c>
      <c r="L44" s="98">
        <f>K44</f>
        <v>357.83</v>
      </c>
      <c r="M44" s="98">
        <f>I44+J44-L44</f>
        <v>4369.17</v>
      </c>
      <c r="N44" s="113"/>
    </row>
    <row r="45" spans="1:97" s="80" customFormat="1" ht="30" customHeight="1" x14ac:dyDescent="0.2">
      <c r="A45" s="28"/>
      <c r="B45" s="109">
        <v>23</v>
      </c>
      <c r="C45" s="208" t="s">
        <v>361</v>
      </c>
      <c r="D45" s="101" t="s">
        <v>184</v>
      </c>
      <c r="E45" s="95" t="s">
        <v>42</v>
      </c>
      <c r="F45" s="64"/>
      <c r="G45" s="64">
        <v>15</v>
      </c>
      <c r="H45" s="98">
        <v>231.66650000000001</v>
      </c>
      <c r="I45" s="97">
        <f t="shared" si="9"/>
        <v>3475</v>
      </c>
      <c r="J45" s="144">
        <f>IFERROR(IF(ROUND((((I45/G45*30.4)-VLOOKUP((I45/G45*30.4),TARIFA,1))*VLOOKUP((I45/G45*30.4),TARIFA,3)+VLOOKUP((I45/G45*30.4),TARIFA,2)-VLOOKUP((I45/G45*30.4),SUBSIDIO,2))/30.4*G45,2)&lt;0,ROUND(-(((I45/G45*30.4)-VLOOKUP((I45/G45*30.4),TARIFA,1))*VLOOKUP((I45/G45*30.4),TARIFA,3)+VLOOKUP((I45/G45*30.4),TARIFA,2)-VLOOKUP((I45/G45*30.4),SUBSIDIO,2))/30.4*G45,2),0),0)</f>
        <v>0</v>
      </c>
      <c r="K45" s="98">
        <f>IF(H45&lt;=248.93,0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0</v>
      </c>
      <c r="L45" s="98">
        <f>K45</f>
        <v>0</v>
      </c>
      <c r="M45" s="98">
        <f>I45+J45-L45</f>
        <v>3475</v>
      </c>
      <c r="N45" s="113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1:97" ht="30" customHeight="1" x14ac:dyDescent="0.2">
      <c r="B46" s="109"/>
      <c r="C46" s="208"/>
      <c r="D46" s="72"/>
      <c r="E46" s="66" t="s">
        <v>33</v>
      </c>
      <c r="F46" s="388"/>
      <c r="G46" s="389"/>
      <c r="H46" s="211"/>
      <c r="I46" s="100">
        <f>SUM(I44:I45)</f>
        <v>8202</v>
      </c>
      <c r="J46" s="145">
        <f>SUM(J44:J45)</f>
        <v>0</v>
      </c>
      <c r="K46" s="100">
        <f>SUM(K44:K45)</f>
        <v>357.83</v>
      </c>
      <c r="L46" s="100">
        <f>SUM(L44:L45)</f>
        <v>357.83</v>
      </c>
      <c r="M46" s="100">
        <f>SUM(M44:M45)</f>
        <v>7844.17</v>
      </c>
      <c r="N46" s="112"/>
    </row>
    <row r="47" spans="1:97" ht="30" customHeight="1" x14ac:dyDescent="0.2">
      <c r="B47" s="394" t="s">
        <v>44</v>
      </c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6"/>
    </row>
    <row r="48" spans="1:97" s="80" customFormat="1" ht="30" customHeight="1" x14ac:dyDescent="0.2">
      <c r="A48" s="28"/>
      <c r="B48" s="109">
        <v>24</v>
      </c>
      <c r="C48" s="208" t="s">
        <v>361</v>
      </c>
      <c r="D48" s="101" t="s">
        <v>185</v>
      </c>
      <c r="E48" s="95" t="s">
        <v>35</v>
      </c>
      <c r="F48" s="362"/>
      <c r="G48" s="64">
        <v>15</v>
      </c>
      <c r="H48" s="98">
        <v>315.13299999999998</v>
      </c>
      <c r="I48" s="97">
        <f t="shared" ref="I48:I49" si="10">ROUND(G48*H48,2)</f>
        <v>4727</v>
      </c>
      <c r="J48" s="150">
        <f>IFERROR(IF(ROUND((((I48/G48*30.4)-VLOOKUP((I48/G48*30.4),TARIFA,1))*VLOOKUP((I48/G48*30.4),TARIFA,3)+VLOOKUP((I48/G48*30.4),TARIFA,2)-VLOOKUP((I48/G48*30.4),SUBSIDIO,2))/30.4*G48,2)&lt;0,ROUND(-(((I48/G48*30.4)-VLOOKUP((I48/G48*30.4),TARIFA,1))*VLOOKUP((I48/G48*30.4),TARIFA,3)+VLOOKUP((I48/G48*30.4),TARIFA,2)-VLOOKUP((I48/G48*30.4),SUBSIDIO,2))/30.4*G48,2),0),0)</f>
        <v>0</v>
      </c>
      <c r="K48" s="150">
        <f>IF(H48&lt;=248.93,0,(IFERROR(IF(ROUND((((I48/G48*30.4)-VLOOKUP((I48/G48*30.4),TARIFA,1))*VLOOKUP((I48/G48*30.4),TARIFA,3)+VLOOKUP((I48/G48*30.4),TARIFA,2)-VLOOKUP((I48/G48*30.4),SUBSIDIO,2))/30.4*G48,2)&gt;0,ROUND((((I48/G48*30.4)-VLOOKUP((I48/G48*30.4),TARIFA,1))*VLOOKUP((I48/G48*30.4),TARIFA,3)+VLOOKUP((I48/G48*30.4),TARIFA,2)-VLOOKUP((I48/G48*30.4),SUBSIDIO,2))/30.4*G48,2),0),0)))</f>
        <v>357.83</v>
      </c>
      <c r="L48" s="98">
        <f>K48</f>
        <v>357.83</v>
      </c>
      <c r="M48" s="98">
        <f>I48+J48-L48</f>
        <v>4369.17</v>
      </c>
      <c r="N48" s="113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</row>
    <row r="49" spans="1:97" ht="30" customHeight="1" x14ac:dyDescent="0.2">
      <c r="B49" s="109">
        <v>25</v>
      </c>
      <c r="C49" s="208"/>
      <c r="D49" s="101" t="s">
        <v>186</v>
      </c>
      <c r="E49" s="95" t="s">
        <v>116</v>
      </c>
      <c r="F49" s="362"/>
      <c r="G49" s="64">
        <v>15</v>
      </c>
      <c r="H49" s="98">
        <v>135.6</v>
      </c>
      <c r="I49" s="97">
        <f t="shared" si="10"/>
        <v>2034</v>
      </c>
      <c r="J49" s="150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75.03</v>
      </c>
      <c r="K49" s="150">
        <f>IF(H49&lt;=248.93,0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0</v>
      </c>
      <c r="L49" s="146">
        <v>0</v>
      </c>
      <c r="M49" s="98">
        <f>I49+J49-L49</f>
        <v>2109.0300000000002</v>
      </c>
      <c r="N49" s="113"/>
    </row>
    <row r="50" spans="1:97" ht="30" customHeight="1" x14ac:dyDescent="0.2">
      <c r="B50" s="109"/>
      <c r="C50" s="208"/>
      <c r="D50" s="72"/>
      <c r="E50" s="66" t="s">
        <v>33</v>
      </c>
      <c r="F50" s="388"/>
      <c r="G50" s="389"/>
      <c r="H50" s="211"/>
      <c r="I50" s="100">
        <f>SUM(I48:I49)</f>
        <v>6761</v>
      </c>
      <c r="J50" s="100">
        <f>SUM(J48:J49)</f>
        <v>75.03</v>
      </c>
      <c r="K50" s="100">
        <f>SUM(K48:K49)</f>
        <v>357.83</v>
      </c>
      <c r="L50" s="100">
        <f>SUM(L48:L49)</f>
        <v>357.83</v>
      </c>
      <c r="M50" s="100">
        <f>SUM(M48:M49)</f>
        <v>6478.2000000000007</v>
      </c>
      <c r="N50" s="112"/>
    </row>
    <row r="51" spans="1:97" s="5" customFormat="1" ht="30" customHeight="1" x14ac:dyDescent="0.2">
      <c r="B51" s="394" t="s">
        <v>79</v>
      </c>
      <c r="C51" s="395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6"/>
    </row>
    <row r="52" spans="1:97" s="5" customFormat="1" ht="30" customHeight="1" x14ac:dyDescent="0.2">
      <c r="B52" s="109">
        <v>26</v>
      </c>
      <c r="C52" s="208"/>
      <c r="D52" s="101" t="s">
        <v>187</v>
      </c>
      <c r="E52" s="95" t="s">
        <v>35</v>
      </c>
      <c r="F52" s="362"/>
      <c r="G52" s="64">
        <v>15</v>
      </c>
      <c r="H52" s="98">
        <v>315.13299999999998</v>
      </c>
      <c r="I52" s="97">
        <f t="shared" ref="I52" si="11">ROUND(G52*H52,2)</f>
        <v>4727</v>
      </c>
      <c r="J52" s="150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150">
        <f>IF(H52&lt;=248.93,0,(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))</f>
        <v>357.83</v>
      </c>
      <c r="L52" s="98">
        <f>K52</f>
        <v>357.83</v>
      </c>
      <c r="M52" s="98">
        <f>I52+J52-L52</f>
        <v>4369.17</v>
      </c>
      <c r="N52" s="113"/>
    </row>
    <row r="53" spans="1:97" s="5" customFormat="1" ht="30" customHeight="1" x14ac:dyDescent="0.2">
      <c r="B53" s="109"/>
      <c r="C53" s="208"/>
      <c r="D53" s="72"/>
      <c r="E53" s="66" t="s">
        <v>33</v>
      </c>
      <c r="F53" s="388"/>
      <c r="G53" s="389"/>
      <c r="H53" s="211"/>
      <c r="I53" s="100">
        <f>SUM(I52:I52)</f>
        <v>4727</v>
      </c>
      <c r="J53" s="145">
        <f>SUM(J52:J52)</f>
        <v>0</v>
      </c>
      <c r="K53" s="100">
        <f>SUM(K52:K52)</f>
        <v>357.83</v>
      </c>
      <c r="L53" s="100">
        <f>SUM(L52:L52)</f>
        <v>357.83</v>
      </c>
      <c r="M53" s="100">
        <f>SUM(M52:M52)</f>
        <v>4369.17</v>
      </c>
      <c r="N53" s="112"/>
    </row>
    <row r="54" spans="1:97" s="5" customFormat="1" ht="30" customHeight="1" x14ac:dyDescent="0.2">
      <c r="B54" s="400" t="s">
        <v>45</v>
      </c>
      <c r="C54" s="401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3"/>
    </row>
    <row r="55" spans="1:97" s="79" customFormat="1" ht="30" customHeight="1" x14ac:dyDescent="0.2">
      <c r="A55" s="5"/>
      <c r="B55" s="109">
        <v>27</v>
      </c>
      <c r="C55" s="208" t="s">
        <v>361</v>
      </c>
      <c r="D55" s="101" t="s">
        <v>188</v>
      </c>
      <c r="E55" s="95" t="s">
        <v>83</v>
      </c>
      <c r="F55" s="362"/>
      <c r="G55" s="64">
        <v>15</v>
      </c>
      <c r="H55" s="98">
        <v>167.26650000000001</v>
      </c>
      <c r="I55" s="97">
        <f t="shared" ref="I55" si="12">ROUND(G55*H55,2)</f>
        <v>2509</v>
      </c>
      <c r="J55" s="97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16.22</v>
      </c>
      <c r="K55" s="146">
        <f>IF(H55&lt;=248.93,0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0</v>
      </c>
      <c r="L55" s="146">
        <f>K55</f>
        <v>0</v>
      </c>
      <c r="M55" s="98">
        <f>I55+J55-L55</f>
        <v>2525.2199999999998</v>
      </c>
      <c r="N55" s="113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</row>
    <row r="56" spans="1:97" s="5" customFormat="1" ht="30" customHeight="1" x14ac:dyDescent="0.2">
      <c r="B56" s="109"/>
      <c r="C56" s="208"/>
      <c r="D56" s="72"/>
      <c r="E56" s="66" t="s">
        <v>33</v>
      </c>
      <c r="F56" s="66"/>
      <c r="G56" s="64"/>
      <c r="H56" s="211"/>
      <c r="I56" s="100">
        <f>SUM(I55:I55)</f>
        <v>2509</v>
      </c>
      <c r="J56" s="100">
        <f>SUM(J55:J55)</f>
        <v>16.22</v>
      </c>
      <c r="K56" s="145">
        <f>SUM(K55:K55)</f>
        <v>0</v>
      </c>
      <c r="L56" s="145">
        <f>SUM(L55:L55)</f>
        <v>0</v>
      </c>
      <c r="M56" s="100">
        <f>SUM(M55:M55)</f>
        <v>2525.2199999999998</v>
      </c>
      <c r="N56" s="112"/>
    </row>
    <row r="57" spans="1:97" ht="30" customHeight="1" x14ac:dyDescent="0.2">
      <c r="B57" s="394" t="s">
        <v>46</v>
      </c>
      <c r="C57" s="395"/>
      <c r="D57" s="395"/>
      <c r="E57" s="395"/>
      <c r="F57" s="395"/>
      <c r="G57" s="395"/>
      <c r="H57" s="395"/>
      <c r="I57" s="395"/>
      <c r="J57" s="395"/>
      <c r="K57" s="395"/>
      <c r="L57" s="395"/>
      <c r="M57" s="395"/>
      <c r="N57" s="396"/>
    </row>
    <row r="58" spans="1:97" s="5" customFormat="1" ht="30" customHeight="1" x14ac:dyDescent="0.2">
      <c r="B58" s="109">
        <v>28</v>
      </c>
      <c r="C58" s="208"/>
      <c r="D58" s="99" t="s">
        <v>259</v>
      </c>
      <c r="E58" s="95" t="s">
        <v>115</v>
      </c>
      <c r="F58" s="362"/>
      <c r="G58" s="64">
        <v>15</v>
      </c>
      <c r="H58" s="98">
        <v>466.33300000000003</v>
      </c>
      <c r="I58" s="97">
        <f t="shared" ref="I58:I63" si="13">ROUND(G58*H58,2)</f>
        <v>6995</v>
      </c>
      <c r="J58" s="150">
        <f t="shared" ref="J58:J63" si="14"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50">
        <f t="shared" ref="K58:K63" si="15">IF(H58&lt;=248.93,0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693.36</v>
      </c>
      <c r="L58" s="98">
        <f t="shared" ref="L58:L63" si="16">K58</f>
        <v>693.36</v>
      </c>
      <c r="M58" s="98">
        <f t="shared" ref="M58:M63" si="17">I58+J58-L58</f>
        <v>6301.64</v>
      </c>
      <c r="N58" s="113"/>
    </row>
    <row r="59" spans="1:97" ht="30" customHeight="1" x14ac:dyDescent="0.2">
      <c r="B59" s="109">
        <v>29</v>
      </c>
      <c r="C59" s="208"/>
      <c r="D59" s="101" t="s">
        <v>260</v>
      </c>
      <c r="E59" s="95" t="s">
        <v>42</v>
      </c>
      <c r="F59" s="362"/>
      <c r="G59" s="64">
        <v>15</v>
      </c>
      <c r="H59" s="98">
        <v>262</v>
      </c>
      <c r="I59" s="97">
        <f t="shared" si="13"/>
        <v>3930</v>
      </c>
      <c r="J59" s="150">
        <f t="shared" si="14"/>
        <v>0</v>
      </c>
      <c r="K59" s="150">
        <f t="shared" si="15"/>
        <v>271.12</v>
      </c>
      <c r="L59" s="98">
        <f t="shared" si="16"/>
        <v>271.12</v>
      </c>
      <c r="M59" s="98">
        <f t="shared" si="17"/>
        <v>3658.88</v>
      </c>
      <c r="N59" s="113"/>
    </row>
    <row r="60" spans="1:97" ht="30" customHeight="1" x14ac:dyDescent="0.2">
      <c r="B60" s="109">
        <v>30</v>
      </c>
      <c r="C60" s="208"/>
      <c r="D60" s="101" t="s">
        <v>261</v>
      </c>
      <c r="E60" s="95" t="s">
        <v>47</v>
      </c>
      <c r="F60" s="362"/>
      <c r="G60" s="64">
        <v>15</v>
      </c>
      <c r="H60" s="98">
        <v>210.53299999999999</v>
      </c>
      <c r="I60" s="97">
        <f t="shared" si="13"/>
        <v>3158</v>
      </c>
      <c r="J60" s="150">
        <f t="shared" si="14"/>
        <v>0</v>
      </c>
      <c r="K60" s="150">
        <f t="shared" si="15"/>
        <v>0</v>
      </c>
      <c r="L60" s="146">
        <f t="shared" si="16"/>
        <v>0</v>
      </c>
      <c r="M60" s="98">
        <f t="shared" si="17"/>
        <v>3158</v>
      </c>
      <c r="N60" s="113"/>
    </row>
    <row r="61" spans="1:97" ht="30" customHeight="1" x14ac:dyDescent="0.2">
      <c r="B61" s="109">
        <v>31</v>
      </c>
      <c r="C61" s="208" t="s">
        <v>361</v>
      </c>
      <c r="D61" s="101" t="s">
        <v>262</v>
      </c>
      <c r="E61" s="95" t="s">
        <v>48</v>
      </c>
      <c r="F61" s="362"/>
      <c r="G61" s="64">
        <v>15</v>
      </c>
      <c r="H61" s="98">
        <v>264.33300000000003</v>
      </c>
      <c r="I61" s="97">
        <f t="shared" si="13"/>
        <v>3965</v>
      </c>
      <c r="J61" s="150">
        <f t="shared" si="14"/>
        <v>0</v>
      </c>
      <c r="K61" s="150">
        <f t="shared" si="15"/>
        <v>274.93</v>
      </c>
      <c r="L61" s="98">
        <f t="shared" si="16"/>
        <v>274.93</v>
      </c>
      <c r="M61" s="98">
        <f t="shared" si="17"/>
        <v>3690.07</v>
      </c>
      <c r="N61" s="113"/>
    </row>
    <row r="62" spans="1:97" ht="30" customHeight="1" x14ac:dyDescent="0.2">
      <c r="B62" s="109">
        <v>32</v>
      </c>
      <c r="C62" s="208" t="s">
        <v>361</v>
      </c>
      <c r="D62" s="101" t="s">
        <v>263</v>
      </c>
      <c r="E62" s="95" t="s">
        <v>48</v>
      </c>
      <c r="F62" s="362"/>
      <c r="G62" s="64">
        <v>15</v>
      </c>
      <c r="H62" s="98">
        <v>228.66650000000001</v>
      </c>
      <c r="I62" s="97">
        <f t="shared" si="13"/>
        <v>3430</v>
      </c>
      <c r="J62" s="150">
        <f t="shared" si="14"/>
        <v>0</v>
      </c>
      <c r="K62" s="150">
        <f t="shared" si="15"/>
        <v>0</v>
      </c>
      <c r="L62" s="98">
        <f t="shared" si="16"/>
        <v>0</v>
      </c>
      <c r="M62" s="98">
        <f t="shared" si="17"/>
        <v>3430</v>
      </c>
      <c r="N62" s="113"/>
    </row>
    <row r="63" spans="1:97" ht="30" customHeight="1" x14ac:dyDescent="0.2">
      <c r="B63" s="109">
        <v>33</v>
      </c>
      <c r="C63" s="208"/>
      <c r="D63" s="101" t="s">
        <v>264</v>
      </c>
      <c r="E63" s="95" t="s">
        <v>49</v>
      </c>
      <c r="F63" s="362"/>
      <c r="G63" s="64">
        <v>15</v>
      </c>
      <c r="H63" s="98">
        <v>384.8</v>
      </c>
      <c r="I63" s="97">
        <f t="shared" si="13"/>
        <v>5772</v>
      </c>
      <c r="J63" s="150">
        <f t="shared" si="14"/>
        <v>0</v>
      </c>
      <c r="K63" s="150">
        <f t="shared" si="15"/>
        <v>485.93</v>
      </c>
      <c r="L63" s="98">
        <f t="shared" si="16"/>
        <v>485.93</v>
      </c>
      <c r="M63" s="98">
        <f t="shared" si="17"/>
        <v>5286.07</v>
      </c>
      <c r="N63" s="113"/>
    </row>
    <row r="64" spans="1:97" ht="30" customHeight="1" x14ac:dyDescent="0.2">
      <c r="B64" s="109"/>
      <c r="C64" s="208"/>
      <c r="D64" s="72"/>
      <c r="E64" s="66" t="s">
        <v>33</v>
      </c>
      <c r="F64" s="388"/>
      <c r="G64" s="389"/>
      <c r="H64" s="211"/>
      <c r="I64" s="100">
        <f>SUM(I58:I63)</f>
        <v>27250</v>
      </c>
      <c r="J64" s="100">
        <f>SUM(J58:J63)</f>
        <v>0</v>
      </c>
      <c r="K64" s="100">
        <f>SUM(K58:K63)</f>
        <v>1725.3400000000001</v>
      </c>
      <c r="L64" s="100">
        <f>SUM(L58:L63)</f>
        <v>1725.3400000000001</v>
      </c>
      <c r="M64" s="100">
        <f>SUM(M58:M63)</f>
        <v>25524.66</v>
      </c>
      <c r="N64" s="112"/>
    </row>
    <row r="65" spans="1:97" s="5" customFormat="1" ht="30" customHeight="1" x14ac:dyDescent="0.2">
      <c r="B65" s="400" t="s">
        <v>315</v>
      </c>
      <c r="C65" s="401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3"/>
    </row>
    <row r="66" spans="1:97" s="5" customFormat="1" ht="30" customHeight="1" x14ac:dyDescent="0.2">
      <c r="B66" s="109">
        <v>34</v>
      </c>
      <c r="C66" s="208"/>
      <c r="D66" s="101" t="s">
        <v>258</v>
      </c>
      <c r="E66" s="95" t="s">
        <v>35</v>
      </c>
      <c r="F66" s="64"/>
      <c r="G66" s="64">
        <v>15</v>
      </c>
      <c r="H66" s="98">
        <v>315.13299999999998</v>
      </c>
      <c r="I66" s="97">
        <f>ROUND(G66*H66,2)</f>
        <v>4727</v>
      </c>
      <c r="J66" s="150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50">
        <f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357.83</v>
      </c>
      <c r="L66" s="98">
        <f>K66</f>
        <v>357.83</v>
      </c>
      <c r="M66" s="98">
        <f>I66+J66-L66</f>
        <v>4369.17</v>
      </c>
      <c r="N66" s="113"/>
    </row>
    <row r="67" spans="1:97" s="5" customFormat="1" ht="30" customHeight="1" x14ac:dyDescent="0.2">
      <c r="B67" s="109"/>
      <c r="C67" s="208"/>
      <c r="D67" s="72"/>
      <c r="E67" s="66" t="s">
        <v>33</v>
      </c>
      <c r="F67" s="388"/>
      <c r="G67" s="389"/>
      <c r="H67" s="211"/>
      <c r="I67" s="100">
        <f>+I66</f>
        <v>4727</v>
      </c>
      <c r="J67" s="145">
        <f>+J66</f>
        <v>0</v>
      </c>
      <c r="K67" s="100">
        <f>+K66</f>
        <v>357.83</v>
      </c>
      <c r="L67" s="100">
        <f>+L66</f>
        <v>357.83</v>
      </c>
      <c r="M67" s="100">
        <f>+M66</f>
        <v>4369.17</v>
      </c>
      <c r="N67" s="112"/>
    </row>
    <row r="68" spans="1:97" ht="30" customHeight="1" x14ac:dyDescent="0.2">
      <c r="B68" s="394" t="s">
        <v>52</v>
      </c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6"/>
    </row>
    <row r="69" spans="1:97" ht="30" customHeight="1" x14ac:dyDescent="0.2">
      <c r="B69" s="109">
        <v>35</v>
      </c>
      <c r="C69" s="208"/>
      <c r="D69" s="101" t="s">
        <v>257</v>
      </c>
      <c r="E69" s="95" t="s">
        <v>51</v>
      </c>
      <c r="F69" s="362"/>
      <c r="G69" s="64">
        <v>15</v>
      </c>
      <c r="H69" s="98">
        <v>325.86649999999997</v>
      </c>
      <c r="I69" s="97">
        <f>ROUND(G69*H69,2)</f>
        <v>4888</v>
      </c>
      <c r="J69" s="150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50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375.35</v>
      </c>
      <c r="L69" s="98">
        <f>K69</f>
        <v>375.35</v>
      </c>
      <c r="M69" s="98">
        <f>I69+J69-L69</f>
        <v>4512.6499999999996</v>
      </c>
      <c r="N69" s="113"/>
    </row>
    <row r="70" spans="1:97" ht="30" customHeight="1" x14ac:dyDescent="0.2">
      <c r="B70" s="109">
        <v>36</v>
      </c>
      <c r="C70" s="208"/>
      <c r="D70" s="101" t="s">
        <v>256</v>
      </c>
      <c r="E70" s="95" t="s">
        <v>104</v>
      </c>
      <c r="F70" s="362"/>
      <c r="G70" s="64">
        <v>15</v>
      </c>
      <c r="H70" s="98">
        <v>173.333</v>
      </c>
      <c r="I70" s="97">
        <f>ROUND(G70*H70,2)</f>
        <v>2600</v>
      </c>
      <c r="J70" s="150">
        <f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10.39</v>
      </c>
      <c r="K70" s="150">
        <f>IF(H70&lt;=248.93,0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46">
        <f>K70</f>
        <v>0</v>
      </c>
      <c r="M70" s="98">
        <f>I70+J70-L70</f>
        <v>2610.39</v>
      </c>
      <c r="N70" s="113"/>
    </row>
    <row r="71" spans="1:97" ht="30" customHeight="1" x14ac:dyDescent="0.2">
      <c r="B71" s="109">
        <v>37</v>
      </c>
      <c r="C71" s="208"/>
      <c r="D71" s="101" t="s">
        <v>255</v>
      </c>
      <c r="E71" s="95" t="s">
        <v>114</v>
      </c>
      <c r="F71" s="64"/>
      <c r="G71" s="64">
        <v>15</v>
      </c>
      <c r="H71" s="98">
        <v>143.8664</v>
      </c>
      <c r="I71" s="97">
        <f>ROUND(G71*H71,2)</f>
        <v>2158</v>
      </c>
      <c r="J71" s="150">
        <f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67.099999999999994</v>
      </c>
      <c r="K71" s="150">
        <f>IF(H71&lt;=248.93,0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0</v>
      </c>
      <c r="L71" s="146">
        <f>K71</f>
        <v>0</v>
      </c>
      <c r="M71" s="98">
        <f>I71+J71-L71</f>
        <v>2225.1</v>
      </c>
      <c r="N71" s="113"/>
    </row>
    <row r="72" spans="1:97" ht="30" customHeight="1" x14ac:dyDescent="0.2">
      <c r="B72" s="109"/>
      <c r="C72" s="208"/>
      <c r="D72" s="72"/>
      <c r="E72" s="66" t="s">
        <v>33</v>
      </c>
      <c r="F72" s="388"/>
      <c r="G72" s="389"/>
      <c r="H72" s="211"/>
      <c r="I72" s="100">
        <f>SUM(I69:I71)</f>
        <v>9646</v>
      </c>
      <c r="J72" s="100">
        <f>SUM(J69:J71)</f>
        <v>77.489999999999995</v>
      </c>
      <c r="K72" s="100">
        <f>SUM(K69:K71)</f>
        <v>375.35</v>
      </c>
      <c r="L72" s="100">
        <f>SUM(L69:L71)</f>
        <v>375.35</v>
      </c>
      <c r="M72" s="100">
        <f>SUM(M69:M71)</f>
        <v>9348.14</v>
      </c>
      <c r="N72" s="112"/>
    </row>
    <row r="73" spans="1:97" ht="30" customHeight="1" x14ac:dyDescent="0.2">
      <c r="B73" s="394" t="s">
        <v>53</v>
      </c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6"/>
    </row>
    <row r="74" spans="1:97" s="5" customFormat="1" ht="30" customHeight="1" x14ac:dyDescent="0.2">
      <c r="B74" s="109">
        <v>38</v>
      </c>
      <c r="C74" s="208"/>
      <c r="D74" s="101" t="s">
        <v>150</v>
      </c>
      <c r="E74" s="95" t="s">
        <v>51</v>
      </c>
      <c r="F74" s="362"/>
      <c r="G74" s="64">
        <v>15</v>
      </c>
      <c r="H74" s="98">
        <v>325.8664</v>
      </c>
      <c r="I74" s="97">
        <f>ROUND(G74*H74,2)</f>
        <v>4888</v>
      </c>
      <c r="J74" s="150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50">
        <f>IF(H74&lt;=248.93,0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375.35</v>
      </c>
      <c r="L74" s="98">
        <f>K74</f>
        <v>375.35</v>
      </c>
      <c r="M74" s="98">
        <f>I74+J74-L74</f>
        <v>4512.6499999999996</v>
      </c>
      <c r="N74" s="113"/>
    </row>
    <row r="75" spans="1:97" s="80" customFormat="1" ht="30" customHeight="1" x14ac:dyDescent="0.2">
      <c r="A75" s="28"/>
      <c r="B75" s="109">
        <v>39</v>
      </c>
      <c r="C75" s="208"/>
      <c r="D75" s="101" t="s">
        <v>254</v>
      </c>
      <c r="E75" s="95" t="s">
        <v>40</v>
      </c>
      <c r="F75" s="362"/>
      <c r="G75" s="64">
        <v>15</v>
      </c>
      <c r="H75" s="98">
        <v>124.46639999999999</v>
      </c>
      <c r="I75" s="97">
        <f>ROUND(G75*H75,2)</f>
        <v>1867</v>
      </c>
      <c r="J75" s="97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85.72</v>
      </c>
      <c r="K75" s="146">
        <f>IF(H75&lt;=248.93,0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46">
        <f>K75</f>
        <v>0</v>
      </c>
      <c r="M75" s="98">
        <f>I75+J75-L75</f>
        <v>1952.72</v>
      </c>
      <c r="N75" s="113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09"/>
      <c r="C76" s="208"/>
      <c r="D76" s="72"/>
      <c r="E76" s="66" t="s">
        <v>33</v>
      </c>
      <c r="F76" s="388"/>
      <c r="G76" s="389"/>
      <c r="H76" s="211"/>
      <c r="I76" s="100">
        <f>SUM(I74:I75)</f>
        <v>6755</v>
      </c>
      <c r="J76" s="100">
        <f>SUM(J74:J75)</f>
        <v>85.72</v>
      </c>
      <c r="K76" s="100">
        <f>SUM(K74:K75)</f>
        <v>375.35</v>
      </c>
      <c r="L76" s="100">
        <f>SUM(L74:L75)</f>
        <v>375.35</v>
      </c>
      <c r="M76" s="100">
        <f>SUM(M74:M75)</f>
        <v>6465.37</v>
      </c>
      <c r="N76" s="112"/>
    </row>
    <row r="77" spans="1:97" s="33" customFormat="1" ht="30" customHeight="1" x14ac:dyDescent="0.2">
      <c r="A77" s="28"/>
      <c r="B77" s="400" t="s">
        <v>55</v>
      </c>
      <c r="C77" s="401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3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</row>
    <row r="78" spans="1:97" ht="30" customHeight="1" x14ac:dyDescent="0.2">
      <c r="B78" s="109">
        <v>40</v>
      </c>
      <c r="C78" s="208" t="s">
        <v>361</v>
      </c>
      <c r="D78" s="101" t="s">
        <v>377</v>
      </c>
      <c r="E78" s="95" t="s">
        <v>51</v>
      </c>
      <c r="F78" s="362"/>
      <c r="G78" s="64">
        <v>15</v>
      </c>
      <c r="H78" s="98">
        <v>278.26650000000001</v>
      </c>
      <c r="I78" s="97">
        <f>ROUND(G78*H78,2)</f>
        <v>4174</v>
      </c>
      <c r="J78" s="144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98">
        <f>IF(H78&lt;=248.93,0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297.67</v>
      </c>
      <c r="L78" s="98">
        <f>K78</f>
        <v>297.67</v>
      </c>
      <c r="M78" s="98">
        <f>I78+J78-L78</f>
        <v>3876.33</v>
      </c>
      <c r="N78" s="113"/>
    </row>
    <row r="79" spans="1:97" ht="30" customHeight="1" x14ac:dyDescent="0.2">
      <c r="B79" s="109"/>
      <c r="C79" s="208"/>
      <c r="D79" s="73"/>
      <c r="E79" s="66" t="s">
        <v>33</v>
      </c>
      <c r="F79" s="388"/>
      <c r="G79" s="389"/>
      <c r="H79" s="211"/>
      <c r="I79" s="100">
        <f>SUM(I78:I78)</f>
        <v>4174</v>
      </c>
      <c r="J79" s="145">
        <f>SUM(J78:J78)</f>
        <v>0</v>
      </c>
      <c r="K79" s="100">
        <f>SUM(K78:K78)</f>
        <v>297.67</v>
      </c>
      <c r="L79" s="100">
        <f>SUM(L78:L78)</f>
        <v>297.67</v>
      </c>
      <c r="M79" s="100">
        <f>SUM(M78:M78)</f>
        <v>3876.33</v>
      </c>
      <c r="N79" s="112"/>
    </row>
    <row r="80" spans="1:97" s="33" customFormat="1" ht="30" customHeight="1" x14ac:dyDescent="0.2">
      <c r="A80" s="28"/>
      <c r="B80" s="400" t="s">
        <v>50</v>
      </c>
      <c r="C80" s="401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3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</row>
    <row r="81" spans="1:97" s="80" customFormat="1" ht="30" customHeight="1" x14ac:dyDescent="0.2">
      <c r="A81" s="28"/>
      <c r="B81" s="109">
        <v>41</v>
      </c>
      <c r="C81" s="208"/>
      <c r="D81" s="101" t="s">
        <v>276</v>
      </c>
      <c r="E81" s="95" t="s">
        <v>51</v>
      </c>
      <c r="F81" s="362"/>
      <c r="G81" s="64">
        <v>15</v>
      </c>
      <c r="H81" s="98">
        <v>278.26650000000001</v>
      </c>
      <c r="I81" s="97">
        <f>ROUND(G81*H81,2)</f>
        <v>4174</v>
      </c>
      <c r="J81" s="144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98">
        <f>IF(H81&lt;=248.93,0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297.67</v>
      </c>
      <c r="L81" s="98">
        <f>K81</f>
        <v>297.67</v>
      </c>
      <c r="M81" s="98">
        <f>I81+J81-L81</f>
        <v>3876.33</v>
      </c>
      <c r="N81" s="11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</row>
    <row r="82" spans="1:97" ht="30" customHeight="1" x14ac:dyDescent="0.2">
      <c r="B82" s="109"/>
      <c r="C82" s="208"/>
      <c r="D82" s="73"/>
      <c r="E82" s="66" t="s">
        <v>33</v>
      </c>
      <c r="F82" s="388"/>
      <c r="G82" s="389"/>
      <c r="H82" s="211"/>
      <c r="I82" s="100">
        <f>SUM(I81:I81)</f>
        <v>4174</v>
      </c>
      <c r="J82" s="145">
        <f>SUM(J81:J81)</f>
        <v>0</v>
      </c>
      <c r="K82" s="100">
        <f>SUM(K81:K81)</f>
        <v>297.67</v>
      </c>
      <c r="L82" s="100">
        <f>SUM(L81:L81)</f>
        <v>297.67</v>
      </c>
      <c r="M82" s="100">
        <f>SUM(M81:M81)</f>
        <v>3876.33</v>
      </c>
      <c r="N82" s="112"/>
    </row>
    <row r="83" spans="1:97" ht="30" customHeight="1" x14ac:dyDescent="0.2">
      <c r="B83" s="400" t="s">
        <v>57</v>
      </c>
      <c r="C83" s="401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3"/>
    </row>
    <row r="84" spans="1:97" ht="30" customHeight="1" x14ac:dyDescent="0.2">
      <c r="B84" s="109">
        <v>42</v>
      </c>
      <c r="C84" s="208"/>
      <c r="D84" s="101" t="s">
        <v>253</v>
      </c>
      <c r="E84" s="95" t="s">
        <v>58</v>
      </c>
      <c r="F84" s="362"/>
      <c r="G84" s="64">
        <v>15</v>
      </c>
      <c r="H84" s="98">
        <v>214</v>
      </c>
      <c r="I84" s="97">
        <f>ROUND(G84*H84,2)</f>
        <v>3210</v>
      </c>
      <c r="J84" s="144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0</v>
      </c>
      <c r="K84" s="146">
        <f>IF(H84&lt;=248.93,0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46">
        <f>K84</f>
        <v>0</v>
      </c>
      <c r="M84" s="98">
        <f>I84+J84-L84</f>
        <v>3210</v>
      </c>
      <c r="N84" s="113"/>
    </row>
    <row r="85" spans="1:97" s="80" customFormat="1" ht="30" customHeight="1" x14ac:dyDescent="0.2">
      <c r="A85" s="28"/>
      <c r="B85" s="109">
        <v>43</v>
      </c>
      <c r="C85" s="208" t="s">
        <v>361</v>
      </c>
      <c r="D85" s="101" t="s">
        <v>252</v>
      </c>
      <c r="E85" s="95" t="s">
        <v>68</v>
      </c>
      <c r="F85" s="362"/>
      <c r="G85" s="64">
        <v>15</v>
      </c>
      <c r="H85" s="98">
        <v>229.733</v>
      </c>
      <c r="I85" s="97">
        <f>ROUND(G85*H85,2)</f>
        <v>3446</v>
      </c>
      <c r="J85" s="144">
        <f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0</v>
      </c>
      <c r="K85" s="146">
        <f>IF(H85&lt;=248.93,0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0</v>
      </c>
      <c r="L85" s="146">
        <f>K85</f>
        <v>0</v>
      </c>
      <c r="M85" s="98">
        <f>I85+J85-L85</f>
        <v>3446</v>
      </c>
      <c r="N85" s="113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</row>
    <row r="86" spans="1:97" ht="30" customHeight="1" x14ac:dyDescent="0.2">
      <c r="B86" s="109"/>
      <c r="C86" s="208"/>
      <c r="D86" s="72"/>
      <c r="E86" s="66" t="s">
        <v>33</v>
      </c>
      <c r="F86" s="66"/>
      <c r="G86" s="66"/>
      <c r="H86" s="211"/>
      <c r="I86" s="100">
        <f>SUM(I84:I85)</f>
        <v>6656</v>
      </c>
      <c r="J86" s="145">
        <f>SUM(J84:J85)</f>
        <v>0</v>
      </c>
      <c r="K86" s="145">
        <f>SUM(K84:K85)</f>
        <v>0</v>
      </c>
      <c r="L86" s="145">
        <f>SUM(L84:L85)</f>
        <v>0</v>
      </c>
      <c r="M86" s="100">
        <f>SUM(M84:M85)</f>
        <v>6656</v>
      </c>
      <c r="N86" s="112"/>
    </row>
    <row r="87" spans="1:97" ht="30" customHeight="1" x14ac:dyDescent="0.2">
      <c r="B87" s="394" t="s">
        <v>59</v>
      </c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6"/>
    </row>
    <row r="88" spans="1:97" s="5" customFormat="1" ht="30" customHeight="1" x14ac:dyDescent="0.2">
      <c r="B88" s="109">
        <v>44</v>
      </c>
      <c r="C88" s="208"/>
      <c r="D88" s="99" t="s">
        <v>138</v>
      </c>
      <c r="E88" s="95" t="s">
        <v>35</v>
      </c>
      <c r="F88" s="64"/>
      <c r="G88" s="64">
        <v>15</v>
      </c>
      <c r="H88" s="98">
        <v>598.53300000000002</v>
      </c>
      <c r="I88" s="97">
        <f>ROUND(G88*H88,2)</f>
        <v>8978</v>
      </c>
      <c r="J88" s="144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98">
        <f>IF(H88&lt;=248.93,0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1094.68</v>
      </c>
      <c r="L88" s="98">
        <f>K88</f>
        <v>1094.68</v>
      </c>
      <c r="M88" s="98">
        <f>I88+J88-L88</f>
        <v>7883.32</v>
      </c>
      <c r="N88" s="113"/>
    </row>
    <row r="89" spans="1:97" s="80" customFormat="1" ht="30" customHeight="1" x14ac:dyDescent="0.2">
      <c r="A89" s="28"/>
      <c r="B89" s="109">
        <v>45</v>
      </c>
      <c r="C89" s="208" t="s">
        <v>361</v>
      </c>
      <c r="D89" s="101" t="s">
        <v>251</v>
      </c>
      <c r="E89" s="95" t="s">
        <v>42</v>
      </c>
      <c r="F89" s="362"/>
      <c r="G89" s="64">
        <v>15</v>
      </c>
      <c r="H89" s="98">
        <v>173.333</v>
      </c>
      <c r="I89" s="97">
        <f>ROUND(G89*H89,2)</f>
        <v>2600</v>
      </c>
      <c r="J89" s="97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10.39</v>
      </c>
      <c r="K89" s="146">
        <f>IF(H89&lt;=248.93,0,(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))</f>
        <v>0</v>
      </c>
      <c r="L89" s="146">
        <v>0</v>
      </c>
      <c r="M89" s="98">
        <f>I89+J89-L89</f>
        <v>2610.39</v>
      </c>
      <c r="N89" s="113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</row>
    <row r="90" spans="1:97" s="5" customFormat="1" ht="30" customHeight="1" x14ac:dyDescent="0.2">
      <c r="B90" s="109">
        <v>46</v>
      </c>
      <c r="C90" s="208" t="s">
        <v>361</v>
      </c>
      <c r="D90" s="101" t="s">
        <v>250</v>
      </c>
      <c r="E90" s="95" t="s">
        <v>80</v>
      </c>
      <c r="F90" s="362"/>
      <c r="G90" s="64">
        <v>15</v>
      </c>
      <c r="H90" s="98">
        <v>303</v>
      </c>
      <c r="I90" s="97">
        <f>ROUND(G90*H90,2)</f>
        <v>4545</v>
      </c>
      <c r="J90" s="144">
        <f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0</v>
      </c>
      <c r="K90" s="98">
        <f>IF(H90&lt;=248.93,0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338.03</v>
      </c>
      <c r="L90" s="98">
        <f>K90</f>
        <v>338.03</v>
      </c>
      <c r="M90" s="98">
        <f>I90+J90-L90</f>
        <v>4206.97</v>
      </c>
      <c r="N90" s="113"/>
    </row>
    <row r="91" spans="1:97" ht="30" customHeight="1" x14ac:dyDescent="0.2">
      <c r="B91" s="109"/>
      <c r="C91" s="208"/>
      <c r="D91" s="72"/>
      <c r="E91" s="66" t="s">
        <v>33</v>
      </c>
      <c r="F91" s="388"/>
      <c r="G91" s="389"/>
      <c r="H91" s="211"/>
      <c r="I91" s="100">
        <f>SUM(I88:I90)</f>
        <v>16123</v>
      </c>
      <c r="J91" s="100">
        <f>SUM(J88:J90)</f>
        <v>10.39</v>
      </c>
      <c r="K91" s="100">
        <f>SUM(K88:K90)</f>
        <v>1432.71</v>
      </c>
      <c r="L91" s="100">
        <f>SUM(L88:L90)</f>
        <v>1432.71</v>
      </c>
      <c r="M91" s="100">
        <f>SUM(M88:M90)</f>
        <v>14700.68</v>
      </c>
      <c r="N91" s="112"/>
    </row>
    <row r="92" spans="1:97" ht="30" customHeight="1" x14ac:dyDescent="0.2">
      <c r="B92" s="400" t="s">
        <v>75</v>
      </c>
      <c r="C92" s="401"/>
      <c r="D92" s="402"/>
      <c r="E92" s="402"/>
      <c r="F92" s="402"/>
      <c r="G92" s="402"/>
      <c r="H92" s="402"/>
      <c r="I92" s="402"/>
      <c r="J92" s="402"/>
      <c r="K92" s="402"/>
      <c r="L92" s="402"/>
      <c r="M92" s="402"/>
      <c r="N92" s="403"/>
    </row>
    <row r="93" spans="1:97" ht="30" customHeight="1" x14ac:dyDescent="0.2">
      <c r="B93" s="109">
        <v>47</v>
      </c>
      <c r="C93" s="208"/>
      <c r="D93" s="101" t="s">
        <v>249</v>
      </c>
      <c r="E93" s="95" t="s">
        <v>35</v>
      </c>
      <c r="F93" s="362"/>
      <c r="G93" s="64">
        <v>15</v>
      </c>
      <c r="H93" s="98">
        <v>315.13299999999998</v>
      </c>
      <c r="I93" s="97">
        <f>ROUND(G93*H93,2)</f>
        <v>4727</v>
      </c>
      <c r="J93" s="144">
        <f>IFERROR(IF(ROUND((((I93/G93*30.4)-VLOOKUP((I93/G93*30.4),TARIFA,1))*VLOOKUP((I93/G93*30.4),TARIFA,3)+VLOOKUP((I93/G93*30.4),TARIFA,2)-VLOOKUP((I93/G93*30.4),SUBSIDIO,2))/30.4*G93,2)&lt;0,ROUND(-(((I93/G93*30.4)-VLOOKUP((I93/G93*30.4),TARIFA,1))*VLOOKUP((I93/G93*30.4),TARIFA,3)+VLOOKUP((I93/G93*30.4),TARIFA,2)-VLOOKUP((I93/G93*30.4),SUBSIDIO,2))/30.4*G93,2),0),0)</f>
        <v>0</v>
      </c>
      <c r="K93" s="98">
        <f>IF(H93&lt;=248.93,0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357.83</v>
      </c>
      <c r="L93" s="98">
        <f>K93</f>
        <v>357.83</v>
      </c>
      <c r="M93" s="98">
        <f>I93+J93-L93</f>
        <v>4369.17</v>
      </c>
      <c r="N93" s="113"/>
    </row>
    <row r="94" spans="1:97" ht="30" customHeight="1" x14ac:dyDescent="0.2">
      <c r="B94" s="109"/>
      <c r="C94" s="208"/>
      <c r="D94" s="72"/>
      <c r="E94" s="66" t="s">
        <v>33</v>
      </c>
      <c r="F94" s="200"/>
      <c r="G94" s="201"/>
      <c r="H94" s="211"/>
      <c r="I94" s="100">
        <f>SUM(I93:I93)</f>
        <v>4727</v>
      </c>
      <c r="J94" s="145">
        <f>SUM(J93:J93)</f>
        <v>0</v>
      </c>
      <c r="K94" s="100">
        <f>SUM(K93:K93)</f>
        <v>357.83</v>
      </c>
      <c r="L94" s="100">
        <f>SUM(L93:L93)</f>
        <v>357.83</v>
      </c>
      <c r="M94" s="100">
        <f>SUM(M93:M93)</f>
        <v>4369.17</v>
      </c>
      <c r="N94" s="112"/>
    </row>
    <row r="95" spans="1:97" ht="30" customHeight="1" x14ac:dyDescent="0.2">
      <c r="B95" s="400" t="s">
        <v>85</v>
      </c>
      <c r="C95" s="401"/>
      <c r="D95" s="402"/>
      <c r="E95" s="402"/>
      <c r="F95" s="402"/>
      <c r="G95" s="402"/>
      <c r="H95" s="402"/>
      <c r="I95" s="402"/>
      <c r="J95" s="402"/>
      <c r="K95" s="402"/>
      <c r="L95" s="402"/>
      <c r="M95" s="402"/>
      <c r="N95" s="403"/>
    </row>
    <row r="96" spans="1:97" s="80" customFormat="1" ht="30" customHeight="1" x14ac:dyDescent="0.2">
      <c r="A96" s="28"/>
      <c r="B96" s="109">
        <v>48</v>
      </c>
      <c r="C96" s="208" t="s">
        <v>361</v>
      </c>
      <c r="D96" s="101" t="s">
        <v>248</v>
      </c>
      <c r="E96" s="95" t="s">
        <v>35</v>
      </c>
      <c r="F96" s="362"/>
      <c r="G96" s="64">
        <v>15</v>
      </c>
      <c r="H96" s="98">
        <v>466.33300000000003</v>
      </c>
      <c r="I96" s="97">
        <f>ROUND(G96*H96,2)</f>
        <v>6995</v>
      </c>
      <c r="J96" s="144">
        <f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0</v>
      </c>
      <c r="K96" s="98">
        <f>IF(H96&lt;=248.93,0,(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))</f>
        <v>693.36</v>
      </c>
      <c r="L96" s="98">
        <f>K96</f>
        <v>693.36</v>
      </c>
      <c r="M96" s="98">
        <f>I96+J96-L96</f>
        <v>6301.64</v>
      </c>
      <c r="N96" s="113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</row>
    <row r="97" spans="2:14" ht="30" customHeight="1" x14ac:dyDescent="0.2">
      <c r="B97" s="109"/>
      <c r="C97" s="208"/>
      <c r="D97" s="72"/>
      <c r="E97" s="66" t="s">
        <v>33</v>
      </c>
      <c r="F97" s="388"/>
      <c r="G97" s="389"/>
      <c r="H97" s="211"/>
      <c r="I97" s="100">
        <f>SUM(I96:I96)</f>
        <v>6995</v>
      </c>
      <c r="J97" s="100">
        <f>SUM(J96:J96)</f>
        <v>0</v>
      </c>
      <c r="K97" s="100">
        <f>SUM(K96:K96)</f>
        <v>693.36</v>
      </c>
      <c r="L97" s="100">
        <f>SUM(L96:L96)</f>
        <v>693.36</v>
      </c>
      <c r="M97" s="100">
        <f>SUM(M96:M96)</f>
        <v>6301.64</v>
      </c>
      <c r="N97" s="112"/>
    </row>
    <row r="98" spans="2:14" ht="14.25" customHeight="1" x14ac:dyDescent="0.2">
      <c r="B98" s="409"/>
      <c r="C98" s="410"/>
      <c r="D98" s="410"/>
      <c r="E98" s="410"/>
      <c r="F98" s="410"/>
      <c r="G98" s="410"/>
      <c r="H98" s="410"/>
      <c r="I98" s="410"/>
      <c r="J98" s="410"/>
      <c r="K98" s="410"/>
      <c r="L98" s="410"/>
      <c r="M98" s="410"/>
      <c r="N98" s="411"/>
    </row>
    <row r="99" spans="2:14" ht="20.25" customHeight="1" x14ac:dyDescent="0.2">
      <c r="B99" s="406" t="s">
        <v>17</v>
      </c>
      <c r="C99" s="407"/>
      <c r="D99" s="408"/>
      <c r="E99" s="408"/>
      <c r="F99" s="408"/>
      <c r="G99" s="408"/>
      <c r="H99" s="408"/>
      <c r="I99" s="100">
        <f>+I14+I17+I21+I28+I32+I38+I42+I46+I50+I53+I56+I64+I67+I72+I76+I79+I86+I91+I94+I97+I82</f>
        <v>231517</v>
      </c>
      <c r="J99" s="100">
        <f t="shared" ref="J99:N99" si="18">+J14+J17+J21+J28+J32+J38+J42+J46+J50+J53+J56+J64+J67+J72+J76+J79+J86+J91+J94+J97+J82</f>
        <v>275.24</v>
      </c>
      <c r="K99" s="100">
        <f t="shared" si="18"/>
        <v>17946.940000000002</v>
      </c>
      <c r="L99" s="100">
        <f t="shared" si="18"/>
        <v>17946.940000000002</v>
      </c>
      <c r="M99" s="100">
        <f t="shared" si="18"/>
        <v>213845.30000000002</v>
      </c>
      <c r="N99" s="100">
        <f t="shared" si="18"/>
        <v>0</v>
      </c>
    </row>
    <row r="100" spans="2:14" ht="20.100000000000001" customHeight="1" x14ac:dyDescent="0.2">
      <c r="B100" s="116"/>
      <c r="C100" s="114"/>
      <c r="D100" s="114"/>
      <c r="E100" s="114"/>
      <c r="F100" s="114"/>
      <c r="G100" s="114"/>
      <c r="H100" s="114"/>
      <c r="I100" s="115"/>
      <c r="J100" s="115"/>
      <c r="K100" s="115"/>
      <c r="L100" s="115"/>
      <c r="M100" s="115"/>
      <c r="N100" s="117"/>
    </row>
    <row r="101" spans="2:14" ht="20.100000000000001" customHeight="1" x14ac:dyDescent="0.2">
      <c r="B101" s="116"/>
      <c r="C101" s="114"/>
      <c r="D101" s="114"/>
      <c r="E101" s="114"/>
      <c r="F101" s="114"/>
      <c r="G101" s="114"/>
      <c r="H101" s="114"/>
      <c r="I101" s="115"/>
      <c r="J101" s="115"/>
      <c r="K101" s="115"/>
      <c r="L101" s="115"/>
      <c r="M101" s="115"/>
      <c r="N101" s="117"/>
    </row>
    <row r="102" spans="2:14" ht="20.100000000000001" customHeight="1" x14ac:dyDescent="0.2">
      <c r="B102" s="116"/>
      <c r="C102" s="114"/>
      <c r="D102" s="114"/>
      <c r="E102" s="114"/>
      <c r="F102" s="114"/>
      <c r="G102" s="114"/>
      <c r="H102" s="114"/>
      <c r="I102" s="115"/>
      <c r="J102" s="115"/>
      <c r="K102" s="115"/>
      <c r="L102" s="115"/>
      <c r="M102" s="115"/>
      <c r="N102" s="117"/>
    </row>
    <row r="103" spans="2:14" ht="20.100000000000001" customHeight="1" x14ac:dyDescent="0.2">
      <c r="B103" s="116"/>
      <c r="C103" s="114"/>
      <c r="D103" s="114"/>
      <c r="E103" s="114"/>
      <c r="F103" s="114"/>
      <c r="G103" s="114"/>
      <c r="H103" s="114"/>
      <c r="I103" s="115"/>
      <c r="J103" s="115"/>
      <c r="K103" s="115"/>
      <c r="L103" s="115"/>
      <c r="M103" s="115"/>
      <c r="N103" s="117"/>
    </row>
    <row r="104" spans="2:14" ht="13.5" x14ac:dyDescent="0.2">
      <c r="B104" s="91"/>
      <c r="C104" s="5"/>
      <c r="D104" s="412" t="s">
        <v>481</v>
      </c>
      <c r="E104" s="412"/>
      <c r="F104" s="5"/>
      <c r="G104" s="5"/>
      <c r="H104" s="5"/>
      <c r="I104" s="32"/>
      <c r="L104" s="90" t="s">
        <v>303</v>
      </c>
      <c r="M104" s="90"/>
      <c r="N104" s="89"/>
    </row>
    <row r="105" spans="2:14" ht="13.5" thickBot="1" x14ac:dyDescent="0.25">
      <c r="B105" s="92"/>
      <c r="C105" s="93"/>
      <c r="D105" s="404" t="s">
        <v>302</v>
      </c>
      <c r="E105" s="404"/>
      <c r="F105" s="93"/>
      <c r="G105" s="93"/>
      <c r="H105" s="93"/>
      <c r="I105" s="94"/>
      <c r="J105" s="127"/>
      <c r="K105" s="127"/>
      <c r="L105" s="404" t="s">
        <v>304</v>
      </c>
      <c r="M105" s="404"/>
      <c r="N105" s="405"/>
    </row>
    <row r="106" spans="2:14" x14ac:dyDescent="0.2">
      <c r="N106" s="24"/>
    </row>
    <row r="108" spans="2:14" x14ac:dyDescent="0.2">
      <c r="L108" s="25" t="s">
        <v>91</v>
      </c>
      <c r="M108" s="147">
        <f>M10+M31+M34+M36+M45+M48+M55+M61+M62+M78+M85+M89+M90+M96</f>
        <v>53701.16</v>
      </c>
      <c r="N108" s="268"/>
    </row>
    <row r="109" spans="2:14" x14ac:dyDescent="0.2">
      <c r="L109" s="25" t="s">
        <v>92</v>
      </c>
      <c r="M109" s="147">
        <f>M9+M11+M12+M13+M16+M19+M20+M23+M24+M25+M26+M27+M30+M35+M37+M40+M41+M44+M49+M52+M58+M59+M60+M63+M66+M69+M70+M71+M74+M75+M81+M84+M88+M93</f>
        <v>160144.14000000001</v>
      </c>
    </row>
    <row r="110" spans="2:14" x14ac:dyDescent="0.2">
      <c r="E110" s="35" t="s">
        <v>358</v>
      </c>
      <c r="M110" s="147">
        <f>SUM(M108:M109)</f>
        <v>213845.30000000002</v>
      </c>
    </row>
    <row r="112" spans="2:14" x14ac:dyDescent="0.2">
      <c r="L112" s="25" t="s">
        <v>311</v>
      </c>
      <c r="M112" s="148">
        <f>M99-M110</f>
        <v>0</v>
      </c>
    </row>
  </sheetData>
  <mergeCells count="46">
    <mergeCell ref="F50:G50"/>
    <mergeCell ref="B80:N80"/>
    <mergeCell ref="F82:G82"/>
    <mergeCell ref="B77:N77"/>
    <mergeCell ref="B83:N83"/>
    <mergeCell ref="F79:G79"/>
    <mergeCell ref="F76:G76"/>
    <mergeCell ref="B51:N51"/>
    <mergeCell ref="B68:N68"/>
    <mergeCell ref="B57:N57"/>
    <mergeCell ref="B87:N87"/>
    <mergeCell ref="B73:N73"/>
    <mergeCell ref="F53:G53"/>
    <mergeCell ref="F72:G72"/>
    <mergeCell ref="F64:G64"/>
    <mergeCell ref="F67:G67"/>
    <mergeCell ref="B54:N54"/>
    <mergeCell ref="B65:N65"/>
    <mergeCell ref="D105:E105"/>
    <mergeCell ref="L105:N105"/>
    <mergeCell ref="F97:G97"/>
    <mergeCell ref="F91:G91"/>
    <mergeCell ref="B99:H99"/>
    <mergeCell ref="B95:N95"/>
    <mergeCell ref="B92:N92"/>
    <mergeCell ref="B98:N98"/>
    <mergeCell ref="D104:E104"/>
    <mergeCell ref="B15:N15"/>
    <mergeCell ref="B18:N18"/>
    <mergeCell ref="B22:N22"/>
    <mergeCell ref="B47:N47"/>
    <mergeCell ref="B33:N33"/>
    <mergeCell ref="B39:N39"/>
    <mergeCell ref="F21:G21"/>
    <mergeCell ref="B29:N29"/>
    <mergeCell ref="F32:G32"/>
    <mergeCell ref="F28:G28"/>
    <mergeCell ref="B43:N43"/>
    <mergeCell ref="F46:G46"/>
    <mergeCell ref="F42:G42"/>
    <mergeCell ref="F38:G38"/>
    <mergeCell ref="E2:K2"/>
    <mergeCell ref="E5:K5"/>
    <mergeCell ref="L5:N5"/>
    <mergeCell ref="F14:G14"/>
    <mergeCell ref="D7:J7"/>
  </mergeCells>
  <pageMargins left="0.7" right="0.7" top="0.75" bottom="0.75" header="0.3" footer="0.3"/>
  <pageSetup paperSize="9" scale="7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58"/>
  <sheetViews>
    <sheetView showGridLines="0" topLeftCell="A137" zoomScale="80" zoomScaleNormal="80" workbookViewId="0">
      <selection activeCell="F139" sqref="F139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2" customWidth="1"/>
    <col min="5" max="5" width="20.140625" style="78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28"/>
      <c r="C1" s="205"/>
      <c r="D1" s="129"/>
      <c r="E1" s="130"/>
      <c r="F1" s="131"/>
      <c r="G1" s="131"/>
      <c r="H1" s="131"/>
      <c r="I1" s="131"/>
      <c r="J1" s="131"/>
      <c r="K1" s="269"/>
      <c r="L1" s="131"/>
      <c r="M1" s="131"/>
      <c r="N1" s="132"/>
    </row>
    <row r="2" spans="1:15" ht="24" customHeight="1" x14ac:dyDescent="0.2">
      <c r="B2" s="133"/>
      <c r="C2" s="206"/>
      <c r="D2" s="77"/>
      <c r="E2" s="384" t="s">
        <v>308</v>
      </c>
      <c r="F2" s="384"/>
      <c r="G2" s="384"/>
      <c r="H2" s="384"/>
      <c r="I2" s="384"/>
      <c r="J2" s="384"/>
      <c r="K2" s="384"/>
      <c r="L2" s="134"/>
      <c r="M2" s="134"/>
      <c r="N2" s="135"/>
      <c r="O2" s="48"/>
    </row>
    <row r="3" spans="1:15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  <c r="O3" s="48"/>
    </row>
    <row r="4" spans="1:15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  <c r="O4" s="48"/>
    </row>
    <row r="5" spans="1:15" ht="20.25" x14ac:dyDescent="0.2">
      <c r="B5" s="137"/>
      <c r="C5" s="39"/>
      <c r="D5" s="77"/>
      <c r="E5" s="384" t="s">
        <v>310</v>
      </c>
      <c r="F5" s="384"/>
      <c r="G5" s="384"/>
      <c r="H5" s="384"/>
      <c r="I5" s="384"/>
      <c r="J5" s="384"/>
      <c r="K5" s="384"/>
      <c r="L5" s="386"/>
      <c r="M5" s="386"/>
      <c r="N5" s="387"/>
      <c r="O5" s="48"/>
    </row>
    <row r="6" spans="1:15" ht="36.75" customHeight="1" thickBot="1" x14ac:dyDescent="0.25">
      <c r="B6" s="138"/>
      <c r="C6" s="47"/>
      <c r="D6" s="420" t="s">
        <v>491</v>
      </c>
      <c r="E6" s="420"/>
      <c r="F6" s="420"/>
      <c r="G6" s="420"/>
      <c r="H6" s="420"/>
      <c r="I6" s="420"/>
      <c r="J6" s="420"/>
      <c r="K6" s="139"/>
      <c r="L6" s="139"/>
      <c r="M6" s="139"/>
      <c r="N6" s="140"/>
      <c r="O6" s="48"/>
    </row>
    <row r="7" spans="1:15" ht="30" customHeight="1" x14ac:dyDescent="0.2">
      <c r="B7" s="103" t="s">
        <v>301</v>
      </c>
      <c r="C7" s="207" t="s">
        <v>361</v>
      </c>
      <c r="D7" s="104" t="s">
        <v>14</v>
      </c>
      <c r="E7" s="104" t="s">
        <v>295</v>
      </c>
      <c r="F7" s="104" t="s">
        <v>296</v>
      </c>
      <c r="G7" s="104" t="s">
        <v>299</v>
      </c>
      <c r="H7" s="104" t="s">
        <v>300</v>
      </c>
      <c r="I7" s="105" t="s">
        <v>297</v>
      </c>
      <c r="J7" s="104" t="s">
        <v>313</v>
      </c>
      <c r="K7" s="104" t="s">
        <v>314</v>
      </c>
      <c r="L7" s="106" t="s">
        <v>298</v>
      </c>
      <c r="M7" s="106" t="s">
        <v>307</v>
      </c>
      <c r="N7" s="121" t="s">
        <v>306</v>
      </c>
      <c r="O7" s="48"/>
    </row>
    <row r="8" spans="1:15" s="84" customFormat="1" ht="30" customHeight="1" x14ac:dyDescent="0.2">
      <c r="A8" s="5" t="s">
        <v>28</v>
      </c>
      <c r="B8" s="202">
        <v>1</v>
      </c>
      <c r="C8" s="212" t="s">
        <v>361</v>
      </c>
      <c r="D8" s="203" t="s">
        <v>132</v>
      </c>
      <c r="E8" s="203" t="s">
        <v>81</v>
      </c>
      <c r="F8" s="204"/>
      <c r="G8" s="204">
        <v>15</v>
      </c>
      <c r="H8" s="196">
        <v>416</v>
      </c>
      <c r="I8" s="118">
        <f t="shared" ref="I8:I17" si="0">ROUND(G8*H8,2)</f>
        <v>6240</v>
      </c>
      <c r="J8" s="153">
        <f t="shared" ref="J8:J1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18">
        <f t="shared" ref="K8:K17" si="2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8">
        <f t="shared" ref="L8:L15" si="3">K8</f>
        <v>560.80999999999995</v>
      </c>
      <c r="M8" s="118">
        <f>I8+J8-L8</f>
        <v>5679.1900000000005</v>
      </c>
      <c r="N8" s="122"/>
      <c r="O8" s="85"/>
    </row>
    <row r="9" spans="1:15" s="316" customFormat="1" ht="30" customHeight="1" x14ac:dyDescent="0.2">
      <c r="A9" s="28"/>
      <c r="B9" s="202">
        <v>2</v>
      </c>
      <c r="C9" s="212" t="s">
        <v>361</v>
      </c>
      <c r="D9" s="203" t="s">
        <v>410</v>
      </c>
      <c r="E9" s="203" t="s">
        <v>41</v>
      </c>
      <c r="F9" s="74"/>
      <c r="G9" s="204">
        <v>15</v>
      </c>
      <c r="H9" s="196">
        <v>227.06639999999999</v>
      </c>
      <c r="I9" s="118">
        <f t="shared" ref="I9" si="4">ROUND(G9*H9,2)</f>
        <v>3406</v>
      </c>
      <c r="J9" s="153">
        <f t="shared" ref="J9" si="5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3">
        <f t="shared" si="2"/>
        <v>0</v>
      </c>
      <c r="L9" s="153">
        <f t="shared" ref="L9" si="6">K9</f>
        <v>0</v>
      </c>
      <c r="M9" s="118">
        <f t="shared" ref="M9" si="7">I9+J9-L9</f>
        <v>3406</v>
      </c>
      <c r="N9" s="122"/>
      <c r="O9" s="85"/>
    </row>
    <row r="10" spans="1:15" s="316" customFormat="1" ht="30" customHeight="1" x14ac:dyDescent="0.2">
      <c r="A10" s="28"/>
      <c r="B10" s="202">
        <v>3</v>
      </c>
      <c r="C10" s="212"/>
      <c r="D10" s="203" t="s">
        <v>190</v>
      </c>
      <c r="E10" s="203" t="s">
        <v>86</v>
      </c>
      <c r="F10" s="74"/>
      <c r="G10" s="204">
        <v>15</v>
      </c>
      <c r="H10" s="196">
        <v>282.06639999999999</v>
      </c>
      <c r="I10" s="118">
        <f t="shared" si="0"/>
        <v>4231</v>
      </c>
      <c r="J10" s="153">
        <f t="shared" si="1"/>
        <v>0</v>
      </c>
      <c r="K10" s="118">
        <f t="shared" si="2"/>
        <v>303.87</v>
      </c>
      <c r="L10" s="118">
        <f t="shared" si="3"/>
        <v>303.87</v>
      </c>
      <c r="M10" s="118">
        <f t="shared" ref="M10:M17" si="8">I10+J10-L10</f>
        <v>3927.13</v>
      </c>
      <c r="N10" s="122"/>
      <c r="O10" s="85"/>
    </row>
    <row r="11" spans="1:15" s="316" customFormat="1" ht="30" customHeight="1" x14ac:dyDescent="0.2">
      <c r="A11" s="28"/>
      <c r="B11" s="202">
        <v>4</v>
      </c>
      <c r="C11" s="212" t="s">
        <v>361</v>
      </c>
      <c r="D11" s="203" t="s">
        <v>191</v>
      </c>
      <c r="E11" s="203" t="s">
        <v>54</v>
      </c>
      <c r="F11" s="74"/>
      <c r="G11" s="204">
        <v>15</v>
      </c>
      <c r="H11" s="196">
        <v>132.93299999999999</v>
      </c>
      <c r="I11" s="118">
        <f t="shared" si="0"/>
        <v>1994</v>
      </c>
      <c r="J11" s="118">
        <f t="shared" si="1"/>
        <v>77.59</v>
      </c>
      <c r="K11" s="153">
        <f t="shared" si="2"/>
        <v>0</v>
      </c>
      <c r="L11" s="153">
        <f t="shared" si="3"/>
        <v>0</v>
      </c>
      <c r="M11" s="118">
        <f t="shared" si="8"/>
        <v>2071.59</v>
      </c>
      <c r="N11" s="122"/>
      <c r="O11" s="85"/>
    </row>
    <row r="12" spans="1:15" s="84" customFormat="1" ht="30" customHeight="1" x14ac:dyDescent="0.2">
      <c r="A12" s="5"/>
      <c r="B12" s="202">
        <v>5</v>
      </c>
      <c r="C12" s="212" t="s">
        <v>361</v>
      </c>
      <c r="D12" s="203" t="s">
        <v>159</v>
      </c>
      <c r="E12" s="203" t="s">
        <v>41</v>
      </c>
      <c r="F12" s="74"/>
      <c r="G12" s="204">
        <v>15</v>
      </c>
      <c r="H12" s="196">
        <v>197.13300000000001</v>
      </c>
      <c r="I12" s="118">
        <f t="shared" si="0"/>
        <v>2957</v>
      </c>
      <c r="J12" s="153">
        <f t="shared" si="1"/>
        <v>0</v>
      </c>
      <c r="K12" s="153">
        <f t="shared" si="2"/>
        <v>0</v>
      </c>
      <c r="L12" s="153">
        <f t="shared" si="3"/>
        <v>0</v>
      </c>
      <c r="M12" s="118">
        <f t="shared" si="8"/>
        <v>2957</v>
      </c>
      <c r="N12" s="122"/>
      <c r="O12" s="85"/>
    </row>
    <row r="13" spans="1:15" s="84" customFormat="1" ht="30" customHeight="1" x14ac:dyDescent="0.2">
      <c r="A13" s="5"/>
      <c r="B13" s="202">
        <v>6</v>
      </c>
      <c r="C13" s="212" t="s">
        <v>361</v>
      </c>
      <c r="D13" s="203" t="s">
        <v>363</v>
      </c>
      <c r="E13" s="203" t="s">
        <v>364</v>
      </c>
      <c r="F13" s="74"/>
      <c r="G13" s="204">
        <v>15</v>
      </c>
      <c r="H13" s="196">
        <v>132.93299999999999</v>
      </c>
      <c r="I13" s="118">
        <f>ROUND(G13*H13,2)</f>
        <v>1994</v>
      </c>
      <c r="J13" s="153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77.59</v>
      </c>
      <c r="K13" s="153">
        <f t="shared" si="2"/>
        <v>0</v>
      </c>
      <c r="L13" s="153">
        <f>K13</f>
        <v>0</v>
      </c>
      <c r="M13" s="118">
        <f>I13+J13-L13</f>
        <v>2071.59</v>
      </c>
      <c r="N13" s="122"/>
      <c r="O13" s="85"/>
    </row>
    <row r="14" spans="1:15" s="84" customFormat="1" ht="30" customHeight="1" x14ac:dyDescent="0.2">
      <c r="A14" s="5"/>
      <c r="B14" s="202">
        <v>7</v>
      </c>
      <c r="C14" s="212" t="s">
        <v>361</v>
      </c>
      <c r="D14" s="203" t="s">
        <v>192</v>
      </c>
      <c r="E14" s="203" t="s">
        <v>42</v>
      </c>
      <c r="F14" s="74"/>
      <c r="G14" s="204">
        <v>15</v>
      </c>
      <c r="H14" s="196">
        <v>194.13300000000001</v>
      </c>
      <c r="I14" s="118">
        <f t="shared" si="0"/>
        <v>2912</v>
      </c>
      <c r="J14" s="153">
        <f t="shared" si="1"/>
        <v>0</v>
      </c>
      <c r="K14" s="153">
        <f t="shared" si="2"/>
        <v>0</v>
      </c>
      <c r="L14" s="153">
        <f t="shared" si="3"/>
        <v>0</v>
      </c>
      <c r="M14" s="118">
        <f t="shared" si="8"/>
        <v>2912</v>
      </c>
      <c r="N14" s="122"/>
      <c r="O14" s="85"/>
    </row>
    <row r="15" spans="1:15" s="84" customFormat="1" ht="30" customHeight="1" x14ac:dyDescent="0.2">
      <c r="A15" s="5"/>
      <c r="B15" s="202">
        <v>8</v>
      </c>
      <c r="C15" s="212" t="s">
        <v>361</v>
      </c>
      <c r="D15" s="203" t="s">
        <v>277</v>
      </c>
      <c r="E15" s="203" t="s">
        <v>42</v>
      </c>
      <c r="F15" s="74"/>
      <c r="G15" s="204">
        <v>15</v>
      </c>
      <c r="H15" s="196">
        <v>193</v>
      </c>
      <c r="I15" s="118">
        <f t="shared" si="0"/>
        <v>2895</v>
      </c>
      <c r="J15" s="153">
        <f t="shared" si="1"/>
        <v>0</v>
      </c>
      <c r="K15" s="153">
        <f t="shared" si="2"/>
        <v>0</v>
      </c>
      <c r="L15" s="153">
        <f t="shared" si="3"/>
        <v>0</v>
      </c>
      <c r="M15" s="118">
        <f t="shared" si="8"/>
        <v>2895</v>
      </c>
      <c r="N15" s="122"/>
      <c r="O15" s="85"/>
    </row>
    <row r="16" spans="1:15" s="316" customFormat="1" ht="41.1" customHeight="1" x14ac:dyDescent="0.2">
      <c r="A16" s="28"/>
      <c r="B16" s="202">
        <v>9</v>
      </c>
      <c r="C16" s="212"/>
      <c r="D16" s="203" t="s">
        <v>404</v>
      </c>
      <c r="E16" s="213" t="s">
        <v>284</v>
      </c>
      <c r="F16" s="74"/>
      <c r="G16" s="204">
        <v>15</v>
      </c>
      <c r="H16" s="196">
        <v>315.13299999999998</v>
      </c>
      <c r="I16" s="118">
        <f t="shared" si="0"/>
        <v>4727</v>
      </c>
      <c r="J16" s="153">
        <f t="shared" si="1"/>
        <v>0</v>
      </c>
      <c r="K16" s="118">
        <f t="shared" si="2"/>
        <v>357.83</v>
      </c>
      <c r="L16" s="118">
        <f>K16</f>
        <v>357.83</v>
      </c>
      <c r="M16" s="118">
        <f t="shared" si="8"/>
        <v>4369.17</v>
      </c>
      <c r="N16" s="122"/>
      <c r="O16" s="85"/>
    </row>
    <row r="17" spans="1:15" s="4" customFormat="1" ht="30" customHeight="1" x14ac:dyDescent="0.2">
      <c r="B17" s="202">
        <v>10</v>
      </c>
      <c r="C17" s="212" t="s">
        <v>361</v>
      </c>
      <c r="D17" s="203" t="s">
        <v>484</v>
      </c>
      <c r="E17" s="203" t="s">
        <v>480</v>
      </c>
      <c r="F17" s="74"/>
      <c r="G17" s="204">
        <v>15</v>
      </c>
      <c r="H17" s="196">
        <v>186.26650000000001</v>
      </c>
      <c r="I17" s="118">
        <f t="shared" si="0"/>
        <v>2794</v>
      </c>
      <c r="J17" s="153">
        <f t="shared" si="1"/>
        <v>0</v>
      </c>
      <c r="K17" s="153">
        <f t="shared" si="2"/>
        <v>0</v>
      </c>
      <c r="L17" s="153">
        <f t="shared" ref="L17" si="9">K17</f>
        <v>0</v>
      </c>
      <c r="M17" s="118">
        <f t="shared" si="8"/>
        <v>2794</v>
      </c>
      <c r="N17" s="122"/>
      <c r="O17" s="366"/>
    </row>
    <row r="18" spans="1:15" s="316" customFormat="1" ht="30" customHeight="1" x14ac:dyDescent="0.2">
      <c r="A18" s="28"/>
      <c r="B18" s="202"/>
      <c r="C18" s="212"/>
      <c r="D18" s="203"/>
      <c r="E18" s="214" t="s">
        <v>33</v>
      </c>
      <c r="F18" s="413"/>
      <c r="G18" s="414"/>
      <c r="H18" s="415"/>
      <c r="I18" s="119">
        <f>SUM(I8:I17)</f>
        <v>34150</v>
      </c>
      <c r="J18" s="119">
        <f t="shared" ref="J18:M18" si="10">SUM(J8:J17)</f>
        <v>155.18</v>
      </c>
      <c r="K18" s="119">
        <f t="shared" si="10"/>
        <v>1222.51</v>
      </c>
      <c r="L18" s="119">
        <f t="shared" si="10"/>
        <v>1222.51</v>
      </c>
      <c r="M18" s="119">
        <f t="shared" si="10"/>
        <v>33082.67</v>
      </c>
      <c r="N18" s="123">
        <f t="shared" ref="N18" si="11">SUM(N8:N16)</f>
        <v>0</v>
      </c>
      <c r="O18" s="85"/>
    </row>
    <row r="19" spans="1:15" ht="30" customHeight="1" x14ac:dyDescent="0.2">
      <c r="B19" s="416" t="s">
        <v>89</v>
      </c>
      <c r="C19" s="417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9"/>
      <c r="O19" s="48"/>
    </row>
    <row r="20" spans="1:15" ht="30" customHeight="1" x14ac:dyDescent="0.2">
      <c r="B20" s="202">
        <v>11</v>
      </c>
      <c r="C20" s="212"/>
      <c r="D20" s="203" t="s">
        <v>193</v>
      </c>
      <c r="E20" s="203" t="s">
        <v>90</v>
      </c>
      <c r="F20" s="74"/>
      <c r="G20" s="204">
        <v>15</v>
      </c>
      <c r="H20" s="215">
        <v>573.46640000000002</v>
      </c>
      <c r="I20" s="118">
        <f>ROUND(G20*H20,2)</f>
        <v>8602</v>
      </c>
      <c r="J20" s="153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18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1014.36</v>
      </c>
      <c r="L20" s="118">
        <f>K20</f>
        <v>1014.36</v>
      </c>
      <c r="M20" s="118">
        <f>I20+J20-L20</f>
        <v>7587.64</v>
      </c>
      <c r="N20" s="124"/>
      <c r="O20" s="48"/>
    </row>
    <row r="21" spans="1:15" ht="30" customHeight="1" x14ac:dyDescent="0.2">
      <c r="B21" s="202"/>
      <c r="C21" s="212"/>
      <c r="D21" s="203"/>
      <c r="E21" s="214" t="s">
        <v>33</v>
      </c>
      <c r="F21" s="413"/>
      <c r="G21" s="414"/>
      <c r="H21" s="415"/>
      <c r="I21" s="119">
        <f>+I20</f>
        <v>8602</v>
      </c>
      <c r="J21" s="154">
        <f t="shared" ref="J21:N21" si="12">+J20</f>
        <v>0</v>
      </c>
      <c r="K21" s="119">
        <f t="shared" si="12"/>
        <v>1014.36</v>
      </c>
      <c r="L21" s="119">
        <f t="shared" si="12"/>
        <v>1014.36</v>
      </c>
      <c r="M21" s="119">
        <f t="shared" si="12"/>
        <v>7587.64</v>
      </c>
      <c r="N21" s="123">
        <f t="shared" si="12"/>
        <v>0</v>
      </c>
      <c r="O21" s="48"/>
    </row>
    <row r="22" spans="1:15" s="316" customFormat="1" ht="30" customHeight="1" x14ac:dyDescent="0.2">
      <c r="A22" s="28"/>
      <c r="B22" s="416" t="s">
        <v>34</v>
      </c>
      <c r="C22" s="417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9"/>
      <c r="O22" s="85"/>
    </row>
    <row r="23" spans="1:15" s="316" customFormat="1" ht="30" customHeight="1" x14ac:dyDescent="0.2">
      <c r="A23" s="28"/>
      <c r="B23" s="202">
        <v>12</v>
      </c>
      <c r="C23" s="212"/>
      <c r="D23" s="203" t="s">
        <v>194</v>
      </c>
      <c r="E23" s="203" t="s">
        <v>125</v>
      </c>
      <c r="F23" s="74"/>
      <c r="G23" s="204">
        <v>15</v>
      </c>
      <c r="H23" s="215">
        <v>281.93299999999999</v>
      </c>
      <c r="I23" s="118">
        <f>ROUND(G23*H23,2)</f>
        <v>4229</v>
      </c>
      <c r="J23" s="153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1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303.64999999999998</v>
      </c>
      <c r="L23" s="118">
        <f>K23</f>
        <v>303.64999999999998</v>
      </c>
      <c r="M23" s="118">
        <f>I23+J23-L23</f>
        <v>3925.35</v>
      </c>
      <c r="N23" s="122"/>
      <c r="O23" s="85"/>
    </row>
    <row r="24" spans="1:15" s="317" customFormat="1" ht="30" customHeight="1" x14ac:dyDescent="0.2">
      <c r="A24" s="26"/>
      <c r="B24" s="202">
        <v>13</v>
      </c>
      <c r="C24" s="212"/>
      <c r="D24" s="203" t="s">
        <v>195</v>
      </c>
      <c r="E24" s="203" t="s">
        <v>126</v>
      </c>
      <c r="F24" s="74"/>
      <c r="G24" s="204">
        <v>15</v>
      </c>
      <c r="H24" s="215">
        <v>281.93299999999999</v>
      </c>
      <c r="I24" s="118">
        <f>ROUND(G24*H24,2)</f>
        <v>4229</v>
      </c>
      <c r="J24" s="153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18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303.64999999999998</v>
      </c>
      <c r="L24" s="118">
        <f>K24</f>
        <v>303.64999999999998</v>
      </c>
      <c r="M24" s="118">
        <f>I24+J24-L24</f>
        <v>3925.35</v>
      </c>
      <c r="N24" s="122"/>
      <c r="O24" s="86"/>
    </row>
    <row r="25" spans="1:15" s="317" customFormat="1" ht="30" customHeight="1" x14ac:dyDescent="0.2">
      <c r="A25" s="26"/>
      <c r="B25" s="202">
        <v>14</v>
      </c>
      <c r="C25" s="212"/>
      <c r="D25" s="203" t="s">
        <v>285</v>
      </c>
      <c r="E25" s="203" t="s">
        <v>154</v>
      </c>
      <c r="F25" s="75"/>
      <c r="G25" s="204">
        <v>15</v>
      </c>
      <c r="H25" s="215">
        <v>315.13299999999998</v>
      </c>
      <c r="I25" s="118">
        <f>ROUND(G25*H25,2)</f>
        <v>4727</v>
      </c>
      <c r="J25" s="153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18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357.83</v>
      </c>
      <c r="L25" s="118">
        <f>K25</f>
        <v>357.83</v>
      </c>
      <c r="M25" s="118">
        <f>I25+J25-L25</f>
        <v>4369.17</v>
      </c>
      <c r="N25" s="122"/>
      <c r="O25" s="86"/>
    </row>
    <row r="26" spans="1:15" s="317" customFormat="1" ht="30" customHeight="1" x14ac:dyDescent="0.2">
      <c r="A26" s="26"/>
      <c r="B26" s="202">
        <v>15</v>
      </c>
      <c r="C26" s="212" t="s">
        <v>361</v>
      </c>
      <c r="D26" s="203" t="s">
        <v>368</v>
      </c>
      <c r="E26" s="203" t="s">
        <v>42</v>
      </c>
      <c r="F26" s="75"/>
      <c r="G26" s="204">
        <v>15</v>
      </c>
      <c r="H26" s="215">
        <v>281.93299999999999</v>
      </c>
      <c r="I26" s="118">
        <f>ROUND(G26*H26,2)</f>
        <v>4229</v>
      </c>
      <c r="J26" s="153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18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303.64999999999998</v>
      </c>
      <c r="L26" s="118">
        <f>K26</f>
        <v>303.64999999999998</v>
      </c>
      <c r="M26" s="118">
        <f>I26+J26-L26</f>
        <v>3925.35</v>
      </c>
      <c r="N26" s="122"/>
      <c r="O26" s="86"/>
    </row>
    <row r="27" spans="1:15" s="316" customFormat="1" ht="30" customHeight="1" x14ac:dyDescent="0.2">
      <c r="A27" s="28"/>
      <c r="B27" s="216"/>
      <c r="C27" s="217"/>
      <c r="D27" s="218"/>
      <c r="E27" s="214" t="s">
        <v>33</v>
      </c>
      <c r="F27" s="413"/>
      <c r="G27" s="414"/>
      <c r="H27" s="415"/>
      <c r="I27" s="119">
        <f>SUM(I23:I26)</f>
        <v>17414</v>
      </c>
      <c r="J27" s="154">
        <f>SUM(J23:J26)</f>
        <v>0</v>
      </c>
      <c r="K27" s="119">
        <f>SUM(K23:K26)</f>
        <v>1268.7799999999997</v>
      </c>
      <c r="L27" s="119">
        <f>SUM(L23:L26)</f>
        <v>1268.7799999999997</v>
      </c>
      <c r="M27" s="119">
        <f>SUM(M23:M26)</f>
        <v>16145.22</v>
      </c>
      <c r="N27" s="123">
        <f>SUM(N23:N25)</f>
        <v>0</v>
      </c>
      <c r="O27" s="85"/>
    </row>
    <row r="28" spans="1:15" ht="30" customHeight="1" x14ac:dyDescent="0.2">
      <c r="B28" s="416" t="s">
        <v>36</v>
      </c>
      <c r="C28" s="417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9"/>
      <c r="O28" s="48"/>
    </row>
    <row r="29" spans="1:15" ht="30" customHeight="1" x14ac:dyDescent="0.2">
      <c r="B29" s="202">
        <v>16</v>
      </c>
      <c r="C29" s="212"/>
      <c r="D29" s="203" t="s">
        <v>196</v>
      </c>
      <c r="E29" s="203" t="s">
        <v>61</v>
      </c>
      <c r="F29" s="74"/>
      <c r="G29" s="204">
        <v>15</v>
      </c>
      <c r="H29" s="196">
        <v>295.733</v>
      </c>
      <c r="I29" s="118">
        <f t="shared" ref="I29:I33" si="13">ROUND(G29*H29,2)</f>
        <v>4436</v>
      </c>
      <c r="J29" s="153">
        <f t="shared" ref="J29:J33" si="14"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18">
        <f t="shared" ref="K29:K33" si="15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326.17</v>
      </c>
      <c r="L29" s="118">
        <f t="shared" ref="L29:L33" si="16">K29</f>
        <v>326.17</v>
      </c>
      <c r="M29" s="118">
        <f t="shared" ref="M29:M32" si="17">I29+J29-L29</f>
        <v>4109.83</v>
      </c>
      <c r="N29" s="122"/>
      <c r="O29" s="48"/>
    </row>
    <row r="30" spans="1:15" ht="30" customHeight="1" x14ac:dyDescent="0.2">
      <c r="B30" s="202">
        <v>17</v>
      </c>
      <c r="C30" s="212"/>
      <c r="D30" s="203" t="s">
        <v>197</v>
      </c>
      <c r="E30" s="203" t="s">
        <v>105</v>
      </c>
      <c r="F30" s="74"/>
      <c r="G30" s="204">
        <v>15</v>
      </c>
      <c r="H30" s="196">
        <v>197.2</v>
      </c>
      <c r="I30" s="118">
        <f t="shared" si="13"/>
        <v>2958</v>
      </c>
      <c r="J30" s="153">
        <f t="shared" si="14"/>
        <v>0</v>
      </c>
      <c r="K30" s="153">
        <f t="shared" si="15"/>
        <v>0</v>
      </c>
      <c r="L30" s="153">
        <f t="shared" si="16"/>
        <v>0</v>
      </c>
      <c r="M30" s="118">
        <f t="shared" si="17"/>
        <v>2958</v>
      </c>
      <c r="N30" s="122"/>
      <c r="O30" s="48"/>
    </row>
    <row r="31" spans="1:15" ht="30" customHeight="1" x14ac:dyDescent="0.2">
      <c r="B31" s="202">
        <v>18</v>
      </c>
      <c r="C31" s="212" t="s">
        <v>361</v>
      </c>
      <c r="D31" s="203" t="s">
        <v>198</v>
      </c>
      <c r="E31" s="203" t="s">
        <v>54</v>
      </c>
      <c r="F31" s="204"/>
      <c r="G31" s="204">
        <v>15</v>
      </c>
      <c r="H31" s="196">
        <v>104</v>
      </c>
      <c r="I31" s="118">
        <f t="shared" si="13"/>
        <v>1560</v>
      </c>
      <c r="J31" s="118">
        <f t="shared" si="14"/>
        <v>117.29</v>
      </c>
      <c r="K31" s="153">
        <f t="shared" si="15"/>
        <v>0</v>
      </c>
      <c r="L31" s="153">
        <f t="shared" si="16"/>
        <v>0</v>
      </c>
      <c r="M31" s="118">
        <f t="shared" si="17"/>
        <v>1677.29</v>
      </c>
      <c r="N31" s="122"/>
      <c r="O31" s="48"/>
    </row>
    <row r="32" spans="1:15" ht="30" customHeight="1" x14ac:dyDescent="0.2">
      <c r="B32" s="202">
        <v>19</v>
      </c>
      <c r="C32" s="212"/>
      <c r="D32" s="203" t="s">
        <v>199</v>
      </c>
      <c r="E32" s="203" t="s">
        <v>42</v>
      </c>
      <c r="F32" s="74"/>
      <c r="G32" s="204">
        <v>15</v>
      </c>
      <c r="H32" s="196">
        <v>104</v>
      </c>
      <c r="I32" s="118">
        <f t="shared" si="13"/>
        <v>1560</v>
      </c>
      <c r="J32" s="118">
        <f t="shared" si="14"/>
        <v>117.29</v>
      </c>
      <c r="K32" s="153">
        <f t="shared" si="15"/>
        <v>0</v>
      </c>
      <c r="L32" s="153">
        <f t="shared" si="16"/>
        <v>0</v>
      </c>
      <c r="M32" s="118">
        <f t="shared" si="17"/>
        <v>1677.29</v>
      </c>
      <c r="N32" s="122"/>
      <c r="O32" s="48"/>
    </row>
    <row r="33" spans="2:15" ht="30" customHeight="1" x14ac:dyDescent="0.2">
      <c r="B33" s="202">
        <v>20</v>
      </c>
      <c r="C33" s="212" t="s">
        <v>361</v>
      </c>
      <c r="D33" s="203" t="s">
        <v>281</v>
      </c>
      <c r="E33" s="203" t="s">
        <v>282</v>
      </c>
      <c r="F33" s="74"/>
      <c r="G33" s="204">
        <v>15</v>
      </c>
      <c r="H33" s="196">
        <v>466.33300000000003</v>
      </c>
      <c r="I33" s="118">
        <f t="shared" si="13"/>
        <v>6995</v>
      </c>
      <c r="J33" s="153">
        <f t="shared" si="14"/>
        <v>0</v>
      </c>
      <c r="K33" s="118">
        <f t="shared" si="15"/>
        <v>693.36</v>
      </c>
      <c r="L33" s="118">
        <f t="shared" si="16"/>
        <v>693.36</v>
      </c>
      <c r="M33" s="118">
        <f>I33+J33-L33</f>
        <v>6301.64</v>
      </c>
      <c r="N33" s="122"/>
      <c r="O33" s="48"/>
    </row>
    <row r="34" spans="2:15" ht="30" customHeight="1" x14ac:dyDescent="0.2">
      <c r="B34" s="202"/>
      <c r="C34" s="212"/>
      <c r="D34" s="203"/>
      <c r="E34" s="214" t="s">
        <v>33</v>
      </c>
      <c r="F34" s="413"/>
      <c r="G34" s="414"/>
      <c r="H34" s="415"/>
      <c r="I34" s="119">
        <f>SUM(I29:I33)</f>
        <v>17509</v>
      </c>
      <c r="J34" s="119">
        <f t="shared" ref="J34:N34" si="18">SUM(J29:J33)</f>
        <v>234.58</v>
      </c>
      <c r="K34" s="119">
        <f t="shared" si="18"/>
        <v>1019.53</v>
      </c>
      <c r="L34" s="119">
        <f t="shared" si="18"/>
        <v>1019.53</v>
      </c>
      <c r="M34" s="119">
        <f t="shared" si="18"/>
        <v>16724.05</v>
      </c>
      <c r="N34" s="123">
        <f t="shared" si="18"/>
        <v>0</v>
      </c>
      <c r="O34" s="48"/>
    </row>
    <row r="35" spans="2:15" ht="30" customHeight="1" x14ac:dyDescent="0.2">
      <c r="B35" s="416" t="s">
        <v>39</v>
      </c>
      <c r="C35" s="417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9"/>
      <c r="O35" s="48"/>
    </row>
    <row r="36" spans="2:15" ht="30" customHeight="1" x14ac:dyDescent="0.2">
      <c r="B36" s="202">
        <v>21</v>
      </c>
      <c r="C36" s="212"/>
      <c r="D36" s="203" t="s">
        <v>405</v>
      </c>
      <c r="E36" s="203" t="s">
        <v>42</v>
      </c>
      <c r="F36" s="204"/>
      <c r="G36" s="204">
        <v>15</v>
      </c>
      <c r="H36" s="196">
        <v>104</v>
      </c>
      <c r="I36" s="118">
        <f t="shared" ref="I36:I40" si="19">ROUND(G36*H36,2)</f>
        <v>1560</v>
      </c>
      <c r="J36" s="118">
        <f t="shared" ref="J36:J40" si="20"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117.29</v>
      </c>
      <c r="K36" s="153">
        <f t="shared" ref="K36:K40" si="21"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153">
        <f t="shared" ref="L36:L40" si="22">K36</f>
        <v>0</v>
      </c>
      <c r="M36" s="118">
        <f t="shared" ref="M36:M40" si="23">I36+J36-L36</f>
        <v>1677.29</v>
      </c>
      <c r="N36" s="122"/>
      <c r="O36" s="48"/>
    </row>
    <row r="37" spans="2:15" ht="30" customHeight="1" x14ac:dyDescent="0.2">
      <c r="B37" s="202">
        <v>22</v>
      </c>
      <c r="C37" s="212" t="s">
        <v>361</v>
      </c>
      <c r="D37" s="203" t="s">
        <v>200</v>
      </c>
      <c r="E37" s="203" t="s">
        <v>42</v>
      </c>
      <c r="F37" s="74"/>
      <c r="G37" s="204">
        <v>15</v>
      </c>
      <c r="H37" s="196">
        <v>124.8</v>
      </c>
      <c r="I37" s="118">
        <f t="shared" si="19"/>
        <v>1872</v>
      </c>
      <c r="J37" s="118">
        <f t="shared" si="20"/>
        <v>85.4</v>
      </c>
      <c r="K37" s="153">
        <f t="shared" si="21"/>
        <v>0</v>
      </c>
      <c r="L37" s="153">
        <f t="shared" si="22"/>
        <v>0</v>
      </c>
      <c r="M37" s="118">
        <f t="shared" si="23"/>
        <v>1957.4</v>
      </c>
      <c r="N37" s="122"/>
      <c r="O37" s="48"/>
    </row>
    <row r="38" spans="2:15" ht="30" customHeight="1" x14ac:dyDescent="0.2">
      <c r="B38" s="202">
        <v>23</v>
      </c>
      <c r="C38" s="212"/>
      <c r="D38" s="203" t="s">
        <v>201</v>
      </c>
      <c r="E38" s="203" t="s">
        <v>54</v>
      </c>
      <c r="F38" s="74"/>
      <c r="G38" s="204">
        <v>15</v>
      </c>
      <c r="H38" s="196">
        <v>151.46639999999999</v>
      </c>
      <c r="I38" s="118">
        <f t="shared" si="19"/>
        <v>2272</v>
      </c>
      <c r="J38" s="118">
        <f t="shared" si="20"/>
        <v>45.87</v>
      </c>
      <c r="K38" s="153">
        <f t="shared" si="21"/>
        <v>0</v>
      </c>
      <c r="L38" s="153">
        <f t="shared" si="22"/>
        <v>0</v>
      </c>
      <c r="M38" s="118">
        <f t="shared" si="23"/>
        <v>2317.87</v>
      </c>
      <c r="N38" s="122"/>
      <c r="O38" s="48"/>
    </row>
    <row r="39" spans="2:15" ht="30" customHeight="1" x14ac:dyDescent="0.2">
      <c r="B39" s="202">
        <v>24</v>
      </c>
      <c r="C39" s="212"/>
      <c r="D39" s="203" t="s">
        <v>290</v>
      </c>
      <c r="E39" s="203" t="s">
        <v>291</v>
      </c>
      <c r="F39" s="204"/>
      <c r="G39" s="204">
        <v>15</v>
      </c>
      <c r="H39" s="196">
        <v>155.6</v>
      </c>
      <c r="I39" s="118">
        <f t="shared" si="19"/>
        <v>2334</v>
      </c>
      <c r="J39" s="118">
        <f t="shared" si="20"/>
        <v>27.42</v>
      </c>
      <c r="K39" s="153">
        <f t="shared" si="21"/>
        <v>0</v>
      </c>
      <c r="L39" s="153">
        <f t="shared" si="22"/>
        <v>0</v>
      </c>
      <c r="M39" s="118">
        <f t="shared" si="23"/>
        <v>2361.42</v>
      </c>
      <c r="N39" s="122"/>
      <c r="O39" s="48"/>
    </row>
    <row r="40" spans="2:15" ht="30" customHeight="1" x14ac:dyDescent="0.2">
      <c r="B40" s="202">
        <v>26</v>
      </c>
      <c r="C40" s="212" t="s">
        <v>361</v>
      </c>
      <c r="D40" s="203" t="s">
        <v>483</v>
      </c>
      <c r="E40" s="203" t="s">
        <v>291</v>
      </c>
      <c r="F40" s="204"/>
      <c r="G40" s="204">
        <v>15</v>
      </c>
      <c r="H40" s="196">
        <v>186.26650000000001</v>
      </c>
      <c r="I40" s="118">
        <f t="shared" si="19"/>
        <v>2794</v>
      </c>
      <c r="J40" s="153">
        <f t="shared" si="20"/>
        <v>0</v>
      </c>
      <c r="K40" s="153">
        <f t="shared" si="21"/>
        <v>0</v>
      </c>
      <c r="L40" s="153">
        <f t="shared" si="22"/>
        <v>0</v>
      </c>
      <c r="M40" s="118">
        <f t="shared" si="23"/>
        <v>2794</v>
      </c>
      <c r="N40" s="122"/>
      <c r="O40" s="48"/>
    </row>
    <row r="41" spans="2:15" ht="30" customHeight="1" x14ac:dyDescent="0.2">
      <c r="B41" s="202"/>
      <c r="C41" s="212"/>
      <c r="D41" s="203"/>
      <c r="E41" s="214" t="s">
        <v>33</v>
      </c>
      <c r="F41" s="413"/>
      <c r="G41" s="414"/>
      <c r="H41" s="415"/>
      <c r="I41" s="119">
        <f>SUM(I36:I40)</f>
        <v>10832</v>
      </c>
      <c r="J41" s="119">
        <f>SUM(J36:J40)</f>
        <v>275.98</v>
      </c>
      <c r="K41" s="154">
        <f>SUM(K36:K40)</f>
        <v>0</v>
      </c>
      <c r="L41" s="154">
        <f>SUM(L36:L40)</f>
        <v>0</v>
      </c>
      <c r="M41" s="119">
        <f>SUM(M36:M40)</f>
        <v>11107.98</v>
      </c>
      <c r="N41" s="123">
        <f>SUM(N36:N39)</f>
        <v>0</v>
      </c>
      <c r="O41" s="48"/>
    </row>
    <row r="42" spans="2:15" ht="30" customHeight="1" x14ac:dyDescent="0.2">
      <c r="B42" s="416" t="s">
        <v>43</v>
      </c>
      <c r="C42" s="417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9"/>
      <c r="O42" s="48"/>
    </row>
    <row r="43" spans="2:15" ht="30" customHeight="1" x14ac:dyDescent="0.2">
      <c r="B43" s="202">
        <v>27</v>
      </c>
      <c r="C43" s="212" t="s">
        <v>361</v>
      </c>
      <c r="D43" s="203" t="s">
        <v>202</v>
      </c>
      <c r="E43" s="203" t="s">
        <v>62</v>
      </c>
      <c r="F43" s="74"/>
      <c r="G43" s="204">
        <v>15</v>
      </c>
      <c r="H43" s="196">
        <v>128.13300000000001</v>
      </c>
      <c r="I43" s="118">
        <f>ROUND(G43*H43,2)</f>
        <v>1922</v>
      </c>
      <c r="J43" s="118">
        <f t="shared" ref="J43:J57" si="24">IFERROR(IF(ROUND((((I43/G43*30.4)-VLOOKUP((I43/G43*30.4),TARIFA,1))*VLOOKUP((I43/G43*30.4),TARIFA,3)+VLOOKUP((I43/G43*30.4),TARIFA,2)-VLOOKUP((I43/G43*30.4),SUBSIDIO,2))/30.4*G43,2)&lt;0,ROUND(-(((I43/G43*30.4)-VLOOKUP((I43/G43*30.4),TARIFA,1))*VLOOKUP((I43/G43*30.4),TARIFA,3)+VLOOKUP((I43/G43*30.4),TARIFA,2)-VLOOKUP((I43/G43*30.4),SUBSIDIO,2))/30.4*G43,2),0),0)</f>
        <v>82.2</v>
      </c>
      <c r="K43" s="153">
        <f t="shared" ref="K43:K57" si="25"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53">
        <f t="shared" ref="L43:L57" si="26">K43</f>
        <v>0</v>
      </c>
      <c r="M43" s="118">
        <f t="shared" ref="M43:M57" si="27">I43+J43-L43</f>
        <v>2004.2</v>
      </c>
      <c r="N43" s="122"/>
      <c r="O43" s="48"/>
    </row>
    <row r="44" spans="2:15" ht="30" customHeight="1" x14ac:dyDescent="0.2">
      <c r="B44" s="202">
        <v>28</v>
      </c>
      <c r="C44" s="212" t="s">
        <v>361</v>
      </c>
      <c r="D44" s="203" t="s">
        <v>203</v>
      </c>
      <c r="E44" s="203" t="s">
        <v>63</v>
      </c>
      <c r="F44" s="74"/>
      <c r="G44" s="204">
        <v>15</v>
      </c>
      <c r="H44" s="196">
        <v>160.53299999999999</v>
      </c>
      <c r="I44" s="118">
        <f t="shared" ref="I44:I51" si="28">ROUND(G44*H44,2)</f>
        <v>2408</v>
      </c>
      <c r="J44" s="118">
        <f t="shared" si="24"/>
        <v>22.68</v>
      </c>
      <c r="K44" s="153">
        <f t="shared" si="25"/>
        <v>0</v>
      </c>
      <c r="L44" s="153">
        <f t="shared" si="26"/>
        <v>0</v>
      </c>
      <c r="M44" s="118">
        <f t="shared" si="27"/>
        <v>2430.6799999999998</v>
      </c>
      <c r="N44" s="122"/>
      <c r="O44" s="48"/>
    </row>
    <row r="45" spans="2:15" ht="30" customHeight="1" x14ac:dyDescent="0.2">
      <c r="B45" s="202">
        <v>29</v>
      </c>
      <c r="C45" s="212"/>
      <c r="D45" s="203" t="s">
        <v>204</v>
      </c>
      <c r="E45" s="203" t="s">
        <v>56</v>
      </c>
      <c r="F45" s="74"/>
      <c r="G45" s="204">
        <v>15</v>
      </c>
      <c r="H45" s="196">
        <v>220.8</v>
      </c>
      <c r="I45" s="118">
        <f t="shared" si="28"/>
        <v>3312</v>
      </c>
      <c r="J45" s="153">
        <f t="shared" si="24"/>
        <v>0</v>
      </c>
      <c r="K45" s="153">
        <f t="shared" si="25"/>
        <v>0</v>
      </c>
      <c r="L45" s="153">
        <f t="shared" si="26"/>
        <v>0</v>
      </c>
      <c r="M45" s="118">
        <f t="shared" si="27"/>
        <v>3312</v>
      </c>
      <c r="N45" s="122"/>
      <c r="O45" s="48"/>
    </row>
    <row r="46" spans="2:15" ht="30" customHeight="1" x14ac:dyDescent="0.2">
      <c r="B46" s="202">
        <v>30</v>
      </c>
      <c r="C46" s="212" t="s">
        <v>361</v>
      </c>
      <c r="D46" s="203" t="s">
        <v>280</v>
      </c>
      <c r="E46" s="203" t="s">
        <v>69</v>
      </c>
      <c r="F46" s="74"/>
      <c r="G46" s="204">
        <v>15</v>
      </c>
      <c r="H46" s="196">
        <v>132.2664</v>
      </c>
      <c r="I46" s="118">
        <f t="shared" si="28"/>
        <v>1984</v>
      </c>
      <c r="J46" s="118">
        <f t="shared" si="24"/>
        <v>78.23</v>
      </c>
      <c r="K46" s="153">
        <f t="shared" si="25"/>
        <v>0</v>
      </c>
      <c r="L46" s="153">
        <f t="shared" si="26"/>
        <v>0</v>
      </c>
      <c r="M46" s="118">
        <f t="shared" si="27"/>
        <v>2062.23</v>
      </c>
      <c r="N46" s="122"/>
      <c r="O46" s="48"/>
    </row>
    <row r="47" spans="2:15" ht="30" customHeight="1" x14ac:dyDescent="0.2">
      <c r="B47" s="202">
        <v>31</v>
      </c>
      <c r="C47" s="212" t="s">
        <v>361</v>
      </c>
      <c r="D47" s="203" t="s">
        <v>366</v>
      </c>
      <c r="E47" s="203" t="s">
        <v>69</v>
      </c>
      <c r="F47" s="74"/>
      <c r="G47" s="204">
        <v>15</v>
      </c>
      <c r="H47" s="196">
        <v>147.733</v>
      </c>
      <c r="I47" s="118">
        <f>ROUND(G47*H47,2)</f>
        <v>2216</v>
      </c>
      <c r="J47" s="118">
        <f>IFERROR(IF(ROUND((((I47/G47*30.4)-VLOOKUP((I47/G47*30.4),TARIFA,1))*VLOOKUP((I47/G47*30.4),TARIFA,3)+VLOOKUP((I47/G47*30.4),TARIFA,2)-VLOOKUP((I47/G47*30.4),SUBSIDIO,2))/30.4*G47,2)&lt;0,ROUND(-(((I47/G47*30.4)-VLOOKUP((I47/G47*30.4),TARIFA,1))*VLOOKUP((I47/G47*30.4),TARIFA,3)+VLOOKUP((I47/G47*30.4),TARIFA,2)-VLOOKUP((I47/G47*30.4),SUBSIDIO,2))/30.4*G47,2),0),0)</f>
        <v>49.45</v>
      </c>
      <c r="K47" s="153">
        <f t="shared" si="25"/>
        <v>0</v>
      </c>
      <c r="L47" s="153">
        <f t="shared" si="26"/>
        <v>0</v>
      </c>
      <c r="M47" s="118">
        <f>I47+J47-L47</f>
        <v>2265.4499999999998</v>
      </c>
      <c r="N47" s="122"/>
      <c r="O47" s="48"/>
    </row>
    <row r="48" spans="2:15" ht="30" customHeight="1" x14ac:dyDescent="0.2">
      <c r="B48" s="202">
        <v>32</v>
      </c>
      <c r="C48" s="212" t="s">
        <v>361</v>
      </c>
      <c r="D48" s="203" t="s">
        <v>205</v>
      </c>
      <c r="E48" s="203" t="s">
        <v>112</v>
      </c>
      <c r="F48" s="74"/>
      <c r="G48" s="204">
        <v>15</v>
      </c>
      <c r="H48" s="196">
        <v>83.2</v>
      </c>
      <c r="I48" s="118">
        <f t="shared" si="28"/>
        <v>1248</v>
      </c>
      <c r="J48" s="118">
        <f t="shared" si="24"/>
        <v>137.36000000000001</v>
      </c>
      <c r="K48" s="153">
        <f t="shared" si="25"/>
        <v>0</v>
      </c>
      <c r="L48" s="153">
        <f t="shared" si="26"/>
        <v>0</v>
      </c>
      <c r="M48" s="118">
        <f t="shared" si="27"/>
        <v>1385.3600000000001</v>
      </c>
      <c r="N48" s="122"/>
      <c r="O48" s="48"/>
    </row>
    <row r="49" spans="2:15" ht="30" customHeight="1" x14ac:dyDescent="0.2">
      <c r="B49" s="202">
        <v>33</v>
      </c>
      <c r="C49" s="212" t="s">
        <v>361</v>
      </c>
      <c r="D49" s="203" t="s">
        <v>206</v>
      </c>
      <c r="E49" s="203" t="s">
        <v>69</v>
      </c>
      <c r="F49" s="74"/>
      <c r="G49" s="204">
        <v>15</v>
      </c>
      <c r="H49" s="196">
        <v>147.733</v>
      </c>
      <c r="I49" s="118">
        <f t="shared" si="28"/>
        <v>2216</v>
      </c>
      <c r="J49" s="118">
        <f t="shared" si="24"/>
        <v>49.45</v>
      </c>
      <c r="K49" s="153">
        <f t="shared" si="25"/>
        <v>0</v>
      </c>
      <c r="L49" s="153">
        <f t="shared" si="26"/>
        <v>0</v>
      </c>
      <c r="M49" s="118">
        <f t="shared" si="27"/>
        <v>2265.4499999999998</v>
      </c>
      <c r="N49" s="122"/>
      <c r="O49" s="48"/>
    </row>
    <row r="50" spans="2:15" ht="30" customHeight="1" x14ac:dyDescent="0.2">
      <c r="B50" s="202">
        <v>34</v>
      </c>
      <c r="C50" s="212"/>
      <c r="D50" s="203" t="s">
        <v>207</v>
      </c>
      <c r="E50" s="203" t="s">
        <v>56</v>
      </c>
      <c r="F50" s="74"/>
      <c r="G50" s="204">
        <v>15</v>
      </c>
      <c r="H50" s="196">
        <v>220.8</v>
      </c>
      <c r="I50" s="118">
        <f>ROUND(G50*H50,2)</f>
        <v>3312</v>
      </c>
      <c r="J50" s="153">
        <f t="shared" si="24"/>
        <v>0</v>
      </c>
      <c r="K50" s="153">
        <f t="shared" si="25"/>
        <v>0</v>
      </c>
      <c r="L50" s="153">
        <f t="shared" si="26"/>
        <v>0</v>
      </c>
      <c r="M50" s="118">
        <f t="shared" si="27"/>
        <v>3312</v>
      </c>
      <c r="N50" s="122"/>
      <c r="O50" s="48"/>
    </row>
    <row r="51" spans="2:15" ht="30" customHeight="1" x14ac:dyDescent="0.2">
      <c r="B51" s="202">
        <v>35</v>
      </c>
      <c r="C51" s="212" t="s">
        <v>361</v>
      </c>
      <c r="D51" s="203" t="s">
        <v>369</v>
      </c>
      <c r="E51" s="203" t="s">
        <v>69</v>
      </c>
      <c r="F51" s="74"/>
      <c r="G51" s="204">
        <v>15</v>
      </c>
      <c r="H51" s="196">
        <v>147.733</v>
      </c>
      <c r="I51" s="118">
        <f t="shared" si="28"/>
        <v>2216</v>
      </c>
      <c r="J51" s="153">
        <f t="shared" si="24"/>
        <v>49.45</v>
      </c>
      <c r="K51" s="153">
        <f t="shared" si="25"/>
        <v>0</v>
      </c>
      <c r="L51" s="153">
        <f t="shared" si="26"/>
        <v>0</v>
      </c>
      <c r="M51" s="118">
        <f t="shared" si="27"/>
        <v>2265.4499999999998</v>
      </c>
      <c r="N51" s="122"/>
      <c r="O51" s="48"/>
    </row>
    <row r="52" spans="2:15" ht="30" customHeight="1" x14ac:dyDescent="0.2">
      <c r="B52" s="202">
        <v>36</v>
      </c>
      <c r="C52" s="212"/>
      <c r="D52" s="203" t="s">
        <v>208</v>
      </c>
      <c r="E52" s="203" t="s">
        <v>56</v>
      </c>
      <c r="F52" s="74"/>
      <c r="G52" s="204">
        <v>15</v>
      </c>
      <c r="H52" s="196">
        <v>220.8</v>
      </c>
      <c r="I52" s="118">
        <f t="shared" ref="I52:I57" si="29">ROUND(G52*H52,2)</f>
        <v>3312</v>
      </c>
      <c r="J52" s="153">
        <f t="shared" si="24"/>
        <v>0</v>
      </c>
      <c r="K52" s="153">
        <f t="shared" si="25"/>
        <v>0</v>
      </c>
      <c r="L52" s="153">
        <f t="shared" si="26"/>
        <v>0</v>
      </c>
      <c r="M52" s="118">
        <f t="shared" si="27"/>
        <v>3312</v>
      </c>
      <c r="N52" s="122"/>
      <c r="O52" s="48"/>
    </row>
    <row r="53" spans="2:15" ht="30" customHeight="1" x14ac:dyDescent="0.2">
      <c r="B53" s="202">
        <v>37</v>
      </c>
      <c r="C53" s="212" t="s">
        <v>361</v>
      </c>
      <c r="D53" s="203" t="s">
        <v>167</v>
      </c>
      <c r="E53" s="203" t="s">
        <v>56</v>
      </c>
      <c r="F53" s="74"/>
      <c r="G53" s="204">
        <v>15</v>
      </c>
      <c r="H53" s="196">
        <v>220.8</v>
      </c>
      <c r="I53" s="118">
        <f t="shared" si="29"/>
        <v>3312</v>
      </c>
      <c r="J53" s="153">
        <f t="shared" si="24"/>
        <v>0</v>
      </c>
      <c r="K53" s="153">
        <f t="shared" si="25"/>
        <v>0</v>
      </c>
      <c r="L53" s="153">
        <f t="shared" si="26"/>
        <v>0</v>
      </c>
      <c r="M53" s="118">
        <f t="shared" si="27"/>
        <v>3312</v>
      </c>
      <c r="N53" s="122"/>
      <c r="O53" s="48"/>
    </row>
    <row r="54" spans="2:15" ht="30" customHeight="1" x14ac:dyDescent="0.2">
      <c r="B54" s="202">
        <v>38</v>
      </c>
      <c r="C54" s="212" t="s">
        <v>361</v>
      </c>
      <c r="D54" s="203" t="s">
        <v>166</v>
      </c>
      <c r="E54" s="203" t="s">
        <v>56</v>
      </c>
      <c r="F54" s="74"/>
      <c r="G54" s="204">
        <v>15</v>
      </c>
      <c r="H54" s="196">
        <v>220.8</v>
      </c>
      <c r="I54" s="118">
        <f t="shared" si="29"/>
        <v>3312</v>
      </c>
      <c r="J54" s="153">
        <f t="shared" si="24"/>
        <v>0</v>
      </c>
      <c r="K54" s="153">
        <f t="shared" si="25"/>
        <v>0</v>
      </c>
      <c r="L54" s="153">
        <f t="shared" si="26"/>
        <v>0</v>
      </c>
      <c r="M54" s="118">
        <f t="shared" si="27"/>
        <v>3312</v>
      </c>
      <c r="N54" s="122"/>
      <c r="O54" s="48"/>
    </row>
    <row r="55" spans="2:15" ht="30" customHeight="1" x14ac:dyDescent="0.2">
      <c r="B55" s="202">
        <v>39</v>
      </c>
      <c r="C55" s="212" t="s">
        <v>361</v>
      </c>
      <c r="D55" s="203" t="s">
        <v>378</v>
      </c>
      <c r="E55" s="203" t="s">
        <v>56</v>
      </c>
      <c r="F55" s="74"/>
      <c r="G55" s="204">
        <v>15</v>
      </c>
      <c r="H55" s="196">
        <v>220.8</v>
      </c>
      <c r="I55" s="118">
        <f t="shared" si="29"/>
        <v>3312</v>
      </c>
      <c r="J55" s="153">
        <f t="shared" si="24"/>
        <v>0</v>
      </c>
      <c r="K55" s="153">
        <f t="shared" si="25"/>
        <v>0</v>
      </c>
      <c r="L55" s="153">
        <f t="shared" si="26"/>
        <v>0</v>
      </c>
      <c r="M55" s="118">
        <f t="shared" si="27"/>
        <v>3312</v>
      </c>
      <c r="N55" s="122"/>
      <c r="O55" s="48"/>
    </row>
    <row r="56" spans="2:15" ht="30" customHeight="1" x14ac:dyDescent="0.2">
      <c r="B56" s="202">
        <v>40</v>
      </c>
      <c r="C56" s="212" t="s">
        <v>361</v>
      </c>
      <c r="D56" s="203" t="s">
        <v>379</v>
      </c>
      <c r="E56" s="203" t="s">
        <v>380</v>
      </c>
      <c r="F56" s="74"/>
      <c r="G56" s="204">
        <v>15</v>
      </c>
      <c r="H56" s="196">
        <v>164.8664</v>
      </c>
      <c r="I56" s="118">
        <f>ROUND(G56*H56,2)</f>
        <v>2473</v>
      </c>
      <c r="J56" s="153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18.52</v>
      </c>
      <c r="K56" s="153">
        <f t="shared" si="25"/>
        <v>0</v>
      </c>
      <c r="L56" s="153">
        <v>0</v>
      </c>
      <c r="M56" s="118">
        <f>I56+J56-L56</f>
        <v>2491.52</v>
      </c>
      <c r="N56" s="122"/>
      <c r="O56" s="48"/>
    </row>
    <row r="57" spans="2:15" ht="30" customHeight="1" x14ac:dyDescent="0.2">
      <c r="B57" s="202">
        <v>41</v>
      </c>
      <c r="C57" s="212" t="s">
        <v>361</v>
      </c>
      <c r="D57" s="203" t="s">
        <v>292</v>
      </c>
      <c r="E57" s="203" t="s">
        <v>293</v>
      </c>
      <c r="F57" s="74"/>
      <c r="G57" s="204">
        <v>15</v>
      </c>
      <c r="H57" s="196">
        <v>127.8</v>
      </c>
      <c r="I57" s="118">
        <f t="shared" si="29"/>
        <v>1917</v>
      </c>
      <c r="J57" s="118">
        <f t="shared" si="24"/>
        <v>82.52</v>
      </c>
      <c r="K57" s="153">
        <f t="shared" si="25"/>
        <v>0</v>
      </c>
      <c r="L57" s="153">
        <f t="shared" si="26"/>
        <v>0</v>
      </c>
      <c r="M57" s="118">
        <f t="shared" si="27"/>
        <v>1999.52</v>
      </c>
      <c r="N57" s="122"/>
      <c r="O57" s="48"/>
    </row>
    <row r="58" spans="2:15" ht="30" customHeight="1" x14ac:dyDescent="0.2">
      <c r="B58" s="202"/>
      <c r="C58" s="212"/>
      <c r="D58" s="203"/>
      <c r="E58" s="218" t="s">
        <v>33</v>
      </c>
      <c r="F58" s="413"/>
      <c r="G58" s="414"/>
      <c r="H58" s="415"/>
      <c r="I58" s="119">
        <f t="shared" ref="I58:N58" si="30">SUM(I43:I57)</f>
        <v>38472</v>
      </c>
      <c r="J58" s="119">
        <f t="shared" si="30"/>
        <v>569.86</v>
      </c>
      <c r="K58" s="154">
        <f t="shared" si="30"/>
        <v>0</v>
      </c>
      <c r="L58" s="154">
        <f t="shared" si="30"/>
        <v>0</v>
      </c>
      <c r="M58" s="119">
        <f t="shared" si="30"/>
        <v>39041.86</v>
      </c>
      <c r="N58" s="123">
        <f t="shared" si="30"/>
        <v>0</v>
      </c>
      <c r="O58" s="48"/>
    </row>
    <row r="59" spans="2:15" ht="30" customHeight="1" x14ac:dyDescent="0.2">
      <c r="B59" s="416" t="s">
        <v>44</v>
      </c>
      <c r="C59" s="417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9"/>
      <c r="O59" s="48"/>
    </row>
    <row r="60" spans="2:15" ht="30" customHeight="1" x14ac:dyDescent="0.2">
      <c r="B60" s="202">
        <v>42</v>
      </c>
      <c r="C60" s="212" t="s">
        <v>361</v>
      </c>
      <c r="D60" s="203" t="s">
        <v>209</v>
      </c>
      <c r="E60" s="203" t="s">
        <v>72</v>
      </c>
      <c r="F60" s="74"/>
      <c r="G60" s="204">
        <v>15</v>
      </c>
      <c r="H60" s="215">
        <v>134.93299999999999</v>
      </c>
      <c r="I60" s="118">
        <f>ROUND(G60*H60,2)</f>
        <v>2024</v>
      </c>
      <c r="J60" s="118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75.67</v>
      </c>
      <c r="K60" s="153">
        <f>IF(H60&lt;=248.93,0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53">
        <f>K60</f>
        <v>0</v>
      </c>
      <c r="M60" s="118">
        <f>I60+J60-L60</f>
        <v>2099.67</v>
      </c>
      <c r="N60" s="122"/>
      <c r="O60" s="48"/>
    </row>
    <row r="61" spans="2:15" ht="30" customHeight="1" x14ac:dyDescent="0.2">
      <c r="B61" s="202">
        <v>43</v>
      </c>
      <c r="C61" s="212" t="s">
        <v>361</v>
      </c>
      <c r="D61" s="203" t="s">
        <v>210</v>
      </c>
      <c r="E61" s="203" t="s">
        <v>65</v>
      </c>
      <c r="F61" s="74"/>
      <c r="G61" s="204">
        <v>15</v>
      </c>
      <c r="H61" s="215">
        <v>213.13300000000001</v>
      </c>
      <c r="I61" s="118">
        <f>ROUND(G61*H61,2)</f>
        <v>3197</v>
      </c>
      <c r="J61" s="153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153">
        <f>IF(H61&lt;=248.93,0,(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))</f>
        <v>0</v>
      </c>
      <c r="L61" s="153">
        <f>K61</f>
        <v>0</v>
      </c>
      <c r="M61" s="118">
        <f>I61+J61-L61</f>
        <v>3197</v>
      </c>
      <c r="N61" s="122"/>
      <c r="O61" s="48"/>
    </row>
    <row r="62" spans="2:15" ht="30" customHeight="1" x14ac:dyDescent="0.2">
      <c r="B62" s="202">
        <v>44</v>
      </c>
      <c r="C62" s="212" t="s">
        <v>361</v>
      </c>
      <c r="D62" s="203" t="s">
        <v>211</v>
      </c>
      <c r="E62" s="203" t="s">
        <v>65</v>
      </c>
      <c r="F62" s="74"/>
      <c r="G62" s="204">
        <v>15</v>
      </c>
      <c r="H62" s="215">
        <v>261.8</v>
      </c>
      <c r="I62" s="118">
        <f>ROUND(G62*H62,2)</f>
        <v>3927</v>
      </c>
      <c r="J62" s="153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118">
        <f>IF(H62&lt;=248.93,0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270.79000000000002</v>
      </c>
      <c r="L62" s="118">
        <f>K62</f>
        <v>270.79000000000002</v>
      </c>
      <c r="M62" s="118">
        <f>I62+J62-L62</f>
        <v>3656.21</v>
      </c>
      <c r="N62" s="122"/>
      <c r="O62" s="48"/>
    </row>
    <row r="63" spans="2:15" ht="30" customHeight="1" x14ac:dyDescent="0.2">
      <c r="B63" s="202">
        <v>45</v>
      </c>
      <c r="C63" s="212" t="s">
        <v>361</v>
      </c>
      <c r="D63" s="203" t="s">
        <v>278</v>
      </c>
      <c r="E63" s="203" t="s">
        <v>279</v>
      </c>
      <c r="F63" s="74"/>
      <c r="G63" s="204">
        <v>15</v>
      </c>
      <c r="H63" s="215">
        <v>315.13299999999998</v>
      </c>
      <c r="I63" s="118">
        <f>ROUND(G63*H63,2)</f>
        <v>4727</v>
      </c>
      <c r="J63" s="153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0</v>
      </c>
      <c r="K63" s="118">
        <f>IF(H63&lt;=248.93,0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357.83</v>
      </c>
      <c r="L63" s="118">
        <f>K63</f>
        <v>357.83</v>
      </c>
      <c r="M63" s="118">
        <f>I63+J63-L63</f>
        <v>4369.17</v>
      </c>
      <c r="N63" s="122"/>
      <c r="O63" s="48"/>
    </row>
    <row r="64" spans="2:15" ht="30" customHeight="1" x14ac:dyDescent="0.2">
      <c r="B64" s="202"/>
      <c r="C64" s="212"/>
      <c r="D64" s="203"/>
      <c r="E64" s="214" t="s">
        <v>33</v>
      </c>
      <c r="F64" s="413"/>
      <c r="G64" s="414"/>
      <c r="H64" s="415"/>
      <c r="I64" s="119">
        <f>SUM(I60:I63)</f>
        <v>13875</v>
      </c>
      <c r="J64" s="119">
        <f t="shared" ref="J64:N64" si="31">SUM(J60:J63)</f>
        <v>75.67</v>
      </c>
      <c r="K64" s="119">
        <f t="shared" si="31"/>
        <v>628.62</v>
      </c>
      <c r="L64" s="119">
        <f t="shared" si="31"/>
        <v>628.62</v>
      </c>
      <c r="M64" s="119">
        <f>SUM(M60:M63)</f>
        <v>13322.050000000001</v>
      </c>
      <c r="N64" s="123">
        <f t="shared" si="31"/>
        <v>0</v>
      </c>
      <c r="O64" s="48"/>
    </row>
    <row r="65" spans="2:15" ht="30" customHeight="1" x14ac:dyDescent="0.2">
      <c r="B65" s="416" t="s">
        <v>46</v>
      </c>
      <c r="C65" s="417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9"/>
      <c r="O65" s="48"/>
    </row>
    <row r="66" spans="2:15" s="5" customFormat="1" ht="30" customHeight="1" x14ac:dyDescent="0.2">
      <c r="B66" s="202">
        <v>46</v>
      </c>
      <c r="C66" s="212" t="s">
        <v>361</v>
      </c>
      <c r="D66" s="219" t="s">
        <v>128</v>
      </c>
      <c r="E66" s="203" t="s">
        <v>47</v>
      </c>
      <c r="F66" s="74"/>
      <c r="G66" s="204">
        <v>15</v>
      </c>
      <c r="H66" s="196">
        <v>310.8</v>
      </c>
      <c r="I66" s="118">
        <f t="shared" ref="I66:I71" si="32">ROUND(G66*H66,2)</f>
        <v>4662</v>
      </c>
      <c r="J66" s="153">
        <f t="shared" ref="J66:J72" si="33"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18">
        <f t="shared" ref="K66:K75" si="34"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350.76</v>
      </c>
      <c r="L66" s="118">
        <f t="shared" ref="L66:L75" si="35">K66</f>
        <v>350.76</v>
      </c>
      <c r="M66" s="118">
        <f t="shared" ref="M66:M72" si="36">I66+J66-L66</f>
        <v>4311.24</v>
      </c>
      <c r="N66" s="122"/>
      <c r="O66" s="48"/>
    </row>
    <row r="67" spans="2:15" ht="30" customHeight="1" x14ac:dyDescent="0.2">
      <c r="B67" s="202">
        <v>47</v>
      </c>
      <c r="C67" s="212" t="s">
        <v>361</v>
      </c>
      <c r="D67" s="203" t="s">
        <v>212</v>
      </c>
      <c r="E67" s="203" t="s">
        <v>47</v>
      </c>
      <c r="F67" s="74"/>
      <c r="G67" s="204">
        <v>15</v>
      </c>
      <c r="H67" s="196">
        <v>181.8</v>
      </c>
      <c r="I67" s="118">
        <f t="shared" si="32"/>
        <v>2727</v>
      </c>
      <c r="J67" s="153">
        <f t="shared" si="33"/>
        <v>0</v>
      </c>
      <c r="K67" s="153">
        <f t="shared" si="34"/>
        <v>0</v>
      </c>
      <c r="L67" s="153">
        <f t="shared" si="35"/>
        <v>0</v>
      </c>
      <c r="M67" s="118">
        <f t="shared" si="36"/>
        <v>2727</v>
      </c>
      <c r="N67" s="122"/>
      <c r="O67" s="48"/>
    </row>
    <row r="68" spans="2:15" ht="30" customHeight="1" x14ac:dyDescent="0.2">
      <c r="B68" s="202">
        <v>48</v>
      </c>
      <c r="C68" s="212" t="s">
        <v>361</v>
      </c>
      <c r="D68" s="203" t="s">
        <v>213</v>
      </c>
      <c r="E68" s="203" t="s">
        <v>54</v>
      </c>
      <c r="F68" s="63"/>
      <c r="G68" s="204">
        <v>15</v>
      </c>
      <c r="H68" s="196">
        <v>132.93299999999999</v>
      </c>
      <c r="I68" s="118">
        <f t="shared" si="32"/>
        <v>1994</v>
      </c>
      <c r="J68" s="118">
        <f t="shared" si="33"/>
        <v>77.59</v>
      </c>
      <c r="K68" s="153">
        <f t="shared" si="34"/>
        <v>0</v>
      </c>
      <c r="L68" s="153">
        <f t="shared" si="35"/>
        <v>0</v>
      </c>
      <c r="M68" s="118">
        <f t="shared" si="36"/>
        <v>2071.59</v>
      </c>
      <c r="N68" s="122"/>
      <c r="O68" s="48"/>
    </row>
    <row r="69" spans="2:15" ht="30" customHeight="1" x14ac:dyDescent="0.2">
      <c r="B69" s="202">
        <v>49</v>
      </c>
      <c r="C69" s="212" t="s">
        <v>361</v>
      </c>
      <c r="D69" s="203" t="s">
        <v>406</v>
      </c>
      <c r="E69" s="203" t="s">
        <v>54</v>
      </c>
      <c r="F69" s="74"/>
      <c r="G69" s="204">
        <v>15</v>
      </c>
      <c r="H69" s="196">
        <v>127.834</v>
      </c>
      <c r="I69" s="118">
        <f t="shared" si="32"/>
        <v>1917.51</v>
      </c>
      <c r="J69" s="118">
        <f t="shared" si="33"/>
        <v>82.49</v>
      </c>
      <c r="K69" s="153">
        <f t="shared" si="34"/>
        <v>0</v>
      </c>
      <c r="L69" s="153">
        <f t="shared" si="35"/>
        <v>0</v>
      </c>
      <c r="M69" s="118">
        <f t="shared" si="36"/>
        <v>2000</v>
      </c>
      <c r="N69" s="122"/>
      <c r="O69" s="48"/>
    </row>
    <row r="70" spans="2:15" ht="30" customHeight="1" x14ac:dyDescent="0.2">
      <c r="B70" s="202">
        <v>50</v>
      </c>
      <c r="C70" s="212"/>
      <c r="D70" s="203" t="s">
        <v>214</v>
      </c>
      <c r="E70" s="203" t="s">
        <v>54</v>
      </c>
      <c r="F70" s="74"/>
      <c r="G70" s="204">
        <v>15</v>
      </c>
      <c r="H70" s="196">
        <v>133.13300000000001</v>
      </c>
      <c r="I70" s="118">
        <f t="shared" si="32"/>
        <v>1997</v>
      </c>
      <c r="J70" s="118">
        <f t="shared" si="33"/>
        <v>77.400000000000006</v>
      </c>
      <c r="K70" s="153">
        <f t="shared" si="34"/>
        <v>0</v>
      </c>
      <c r="L70" s="153">
        <f t="shared" si="35"/>
        <v>0</v>
      </c>
      <c r="M70" s="118">
        <f t="shared" si="36"/>
        <v>2074.4</v>
      </c>
      <c r="N70" s="122"/>
      <c r="O70" s="48"/>
    </row>
    <row r="71" spans="2:15" ht="30" customHeight="1" x14ac:dyDescent="0.2">
      <c r="B71" s="202">
        <v>51</v>
      </c>
      <c r="C71" s="212"/>
      <c r="D71" s="203" t="s">
        <v>215</v>
      </c>
      <c r="E71" s="203" t="s">
        <v>54</v>
      </c>
      <c r="F71" s="74"/>
      <c r="G71" s="204">
        <v>15</v>
      </c>
      <c r="H71" s="196">
        <v>133.13300000000001</v>
      </c>
      <c r="I71" s="118">
        <f t="shared" si="32"/>
        <v>1997</v>
      </c>
      <c r="J71" s="118">
        <f t="shared" si="33"/>
        <v>77.400000000000006</v>
      </c>
      <c r="K71" s="153">
        <f t="shared" si="34"/>
        <v>0</v>
      </c>
      <c r="L71" s="153">
        <f t="shared" si="35"/>
        <v>0</v>
      </c>
      <c r="M71" s="118">
        <f t="shared" si="36"/>
        <v>2074.4</v>
      </c>
      <c r="N71" s="122"/>
      <c r="O71" s="48"/>
    </row>
    <row r="72" spans="2:15" ht="30" customHeight="1" x14ac:dyDescent="0.2">
      <c r="B72" s="202">
        <v>52</v>
      </c>
      <c r="C72" s="212" t="s">
        <v>361</v>
      </c>
      <c r="D72" s="219" t="s">
        <v>157</v>
      </c>
      <c r="E72" s="203" t="s">
        <v>54</v>
      </c>
      <c r="F72" s="74"/>
      <c r="G72" s="204">
        <v>15</v>
      </c>
      <c r="H72" s="196">
        <v>104</v>
      </c>
      <c r="I72" s="118">
        <f>ROUND(G72*H72,2)</f>
        <v>1560</v>
      </c>
      <c r="J72" s="118">
        <f t="shared" si="33"/>
        <v>117.29</v>
      </c>
      <c r="K72" s="153">
        <f t="shared" si="34"/>
        <v>0</v>
      </c>
      <c r="L72" s="153">
        <f t="shared" si="35"/>
        <v>0</v>
      </c>
      <c r="M72" s="118">
        <f t="shared" si="36"/>
        <v>1677.29</v>
      </c>
      <c r="N72" s="122"/>
      <c r="O72" s="48"/>
    </row>
    <row r="73" spans="2:15" ht="30" customHeight="1" x14ac:dyDescent="0.2">
      <c r="B73" s="202">
        <v>53</v>
      </c>
      <c r="C73" s="212" t="s">
        <v>361</v>
      </c>
      <c r="D73" s="219" t="s">
        <v>371</v>
      </c>
      <c r="E73" s="203" t="s">
        <v>372</v>
      </c>
      <c r="F73" s="74"/>
      <c r="G73" s="204">
        <v>15</v>
      </c>
      <c r="H73" s="196">
        <v>376.8</v>
      </c>
      <c r="I73" s="118">
        <f>ROUND(G73*H73,2)</f>
        <v>5652</v>
      </c>
      <c r="J73" s="153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0</v>
      </c>
      <c r="K73" s="153">
        <f t="shared" si="34"/>
        <v>466.73</v>
      </c>
      <c r="L73" s="153">
        <f>K73</f>
        <v>466.73</v>
      </c>
      <c r="M73" s="118">
        <f>I73+J73-L73</f>
        <v>5185.2700000000004</v>
      </c>
      <c r="N73" s="122"/>
      <c r="O73" s="48"/>
    </row>
    <row r="74" spans="2:15" ht="30" customHeight="1" x14ac:dyDescent="0.2">
      <c r="B74" s="202">
        <v>54</v>
      </c>
      <c r="C74" s="212" t="s">
        <v>361</v>
      </c>
      <c r="D74" s="219" t="s">
        <v>376</v>
      </c>
      <c r="E74" s="203" t="s">
        <v>372</v>
      </c>
      <c r="F74" s="74"/>
      <c r="G74" s="204">
        <v>15</v>
      </c>
      <c r="H74" s="196">
        <v>544.6</v>
      </c>
      <c r="I74" s="118">
        <f>ROUND(G74*H74,2)</f>
        <v>8169</v>
      </c>
      <c r="J74" s="153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53">
        <f t="shared" si="34"/>
        <v>921.87</v>
      </c>
      <c r="L74" s="153">
        <f>K74</f>
        <v>921.87</v>
      </c>
      <c r="M74" s="118">
        <f>I74+J74-L74</f>
        <v>7247.13</v>
      </c>
      <c r="N74" s="122"/>
      <c r="O74" s="48"/>
    </row>
    <row r="75" spans="2:15" ht="30" customHeight="1" x14ac:dyDescent="0.2">
      <c r="B75" s="202">
        <v>55</v>
      </c>
      <c r="C75" s="212" t="s">
        <v>361</v>
      </c>
      <c r="D75" s="219" t="s">
        <v>362</v>
      </c>
      <c r="E75" s="203" t="s">
        <v>42</v>
      </c>
      <c r="F75" s="74"/>
      <c r="G75" s="204">
        <v>15</v>
      </c>
      <c r="H75" s="196">
        <v>132.93299999999999</v>
      </c>
      <c r="I75" s="118">
        <f>ROUND(G75*H75,2)</f>
        <v>1994</v>
      </c>
      <c r="J75" s="118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77.59</v>
      </c>
      <c r="K75" s="153">
        <f t="shared" si="34"/>
        <v>0</v>
      </c>
      <c r="L75" s="153">
        <f t="shared" si="35"/>
        <v>0</v>
      </c>
      <c r="M75" s="118">
        <f>I75+J75-L75</f>
        <v>2071.59</v>
      </c>
      <c r="N75" s="122"/>
      <c r="O75" s="48"/>
    </row>
    <row r="76" spans="2:15" ht="30" customHeight="1" x14ac:dyDescent="0.2">
      <c r="B76" s="202"/>
      <c r="C76" s="212"/>
      <c r="D76" s="203"/>
      <c r="E76" s="214" t="s">
        <v>33</v>
      </c>
      <c r="F76" s="413"/>
      <c r="G76" s="414"/>
      <c r="H76" s="415"/>
      <c r="I76" s="119">
        <f>SUM(I66:I75)</f>
        <v>32669.510000000002</v>
      </c>
      <c r="J76" s="119">
        <f>SUM(J66:J75)</f>
        <v>509.76</v>
      </c>
      <c r="K76" s="119">
        <f>SUM(K66:K75)</f>
        <v>1739.3600000000001</v>
      </c>
      <c r="L76" s="119">
        <f>SUM(L66:L75)</f>
        <v>1739.3600000000001</v>
      </c>
      <c r="M76" s="119">
        <f>SUM(M66:M75)</f>
        <v>31439.91</v>
      </c>
      <c r="N76" s="123">
        <f>SUM(N66:N72)</f>
        <v>0</v>
      </c>
      <c r="O76" s="48"/>
    </row>
    <row r="77" spans="2:15" ht="30" customHeight="1" x14ac:dyDescent="0.2">
      <c r="B77" s="416" t="s">
        <v>64</v>
      </c>
      <c r="C77" s="417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9"/>
      <c r="O77" s="48"/>
    </row>
    <row r="78" spans="2:15" s="5" customFormat="1" ht="30" customHeight="1" x14ac:dyDescent="0.2">
      <c r="B78" s="202">
        <v>56</v>
      </c>
      <c r="C78" s="212"/>
      <c r="D78" s="203" t="s">
        <v>216</v>
      </c>
      <c r="E78" s="203" t="s">
        <v>35</v>
      </c>
      <c r="F78" s="74"/>
      <c r="G78" s="204">
        <v>15</v>
      </c>
      <c r="H78" s="215">
        <v>315.13299999999998</v>
      </c>
      <c r="I78" s="118">
        <f>ROUND(G78*H78,2)</f>
        <v>4727</v>
      </c>
      <c r="J78" s="153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18">
        <f>IF(H78&lt;=248.93,0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357.83</v>
      </c>
      <c r="L78" s="118">
        <f>K78</f>
        <v>357.83</v>
      </c>
      <c r="M78" s="118">
        <f>I78+J78-L78</f>
        <v>4369.17</v>
      </c>
      <c r="N78" s="122"/>
      <c r="O78" s="48"/>
    </row>
    <row r="79" spans="2:15" ht="30" customHeight="1" x14ac:dyDescent="0.2">
      <c r="B79" s="202">
        <v>57</v>
      </c>
      <c r="C79" s="212" t="s">
        <v>361</v>
      </c>
      <c r="D79" s="203" t="s">
        <v>286</v>
      </c>
      <c r="E79" s="203" t="s">
        <v>54</v>
      </c>
      <c r="F79" s="63"/>
      <c r="G79" s="204">
        <v>15</v>
      </c>
      <c r="H79" s="215">
        <v>106.2664</v>
      </c>
      <c r="I79" s="118">
        <f>ROUND(G79*H79,2)</f>
        <v>1594</v>
      </c>
      <c r="J79" s="153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115.11</v>
      </c>
      <c r="K79" s="153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0</v>
      </c>
      <c r="L79" s="153">
        <f>K79</f>
        <v>0</v>
      </c>
      <c r="M79" s="118">
        <f>I79+J79-L79</f>
        <v>1709.11</v>
      </c>
      <c r="N79" s="122"/>
      <c r="O79" s="48"/>
    </row>
    <row r="80" spans="2:15" ht="30" customHeight="1" x14ac:dyDescent="0.2">
      <c r="B80" s="202"/>
      <c r="C80" s="212"/>
      <c r="D80" s="203"/>
      <c r="E80" s="214" t="s">
        <v>33</v>
      </c>
      <c r="F80" s="413"/>
      <c r="G80" s="414"/>
      <c r="H80" s="415"/>
      <c r="I80" s="119">
        <f>SUM(I78:I79)</f>
        <v>6321</v>
      </c>
      <c r="J80" s="119">
        <f t="shared" ref="J80:N80" si="37">SUM(J78:J79)</f>
        <v>115.11</v>
      </c>
      <c r="K80" s="119">
        <f t="shared" si="37"/>
        <v>357.83</v>
      </c>
      <c r="L80" s="119">
        <f t="shared" si="37"/>
        <v>357.83</v>
      </c>
      <c r="M80" s="119">
        <f t="shared" si="37"/>
        <v>6078.28</v>
      </c>
      <c r="N80" s="123">
        <f t="shared" si="37"/>
        <v>0</v>
      </c>
      <c r="O80" s="48"/>
    </row>
    <row r="81" spans="2:15" ht="30" customHeight="1" x14ac:dyDescent="0.2">
      <c r="B81" s="416" t="s">
        <v>50</v>
      </c>
      <c r="C81" s="417"/>
      <c r="D81" s="418"/>
      <c r="E81" s="418"/>
      <c r="F81" s="418"/>
      <c r="G81" s="418"/>
      <c r="H81" s="418"/>
      <c r="I81" s="418"/>
      <c r="J81" s="418"/>
      <c r="K81" s="418"/>
      <c r="L81" s="418"/>
      <c r="M81" s="418"/>
      <c r="N81" s="419"/>
      <c r="O81" s="48"/>
    </row>
    <row r="82" spans="2:15" ht="30" customHeight="1" x14ac:dyDescent="0.2">
      <c r="B82" s="202">
        <v>58</v>
      </c>
      <c r="C82" s="212"/>
      <c r="D82" s="219" t="s">
        <v>407</v>
      </c>
      <c r="E82" s="203" t="s">
        <v>42</v>
      </c>
      <c r="F82" s="74"/>
      <c r="G82" s="204">
        <v>15</v>
      </c>
      <c r="H82" s="196">
        <v>104</v>
      </c>
      <c r="I82" s="118">
        <f t="shared" ref="I82:I87" si="38">ROUND(G82*H82,2)</f>
        <v>1560</v>
      </c>
      <c r="J82" s="118">
        <f t="shared" ref="J82:J87" si="39"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117.29</v>
      </c>
      <c r="K82" s="153">
        <f t="shared" ref="K82:K87" si="40"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53">
        <f t="shared" ref="L82:L87" si="41">K82</f>
        <v>0</v>
      </c>
      <c r="M82" s="118">
        <f t="shared" ref="M82:M87" si="42">I82+J82-L82</f>
        <v>1677.29</v>
      </c>
      <c r="N82" s="122"/>
      <c r="O82" s="48"/>
    </row>
    <row r="83" spans="2:15" ht="30" customHeight="1" x14ac:dyDescent="0.2">
      <c r="B83" s="202">
        <v>59</v>
      </c>
      <c r="C83" s="212" t="s">
        <v>361</v>
      </c>
      <c r="D83" s="219" t="s">
        <v>217</v>
      </c>
      <c r="E83" s="203" t="s">
        <v>71</v>
      </c>
      <c r="F83" s="74"/>
      <c r="G83" s="204">
        <v>15</v>
      </c>
      <c r="H83" s="196">
        <v>149.6</v>
      </c>
      <c r="I83" s="118">
        <f t="shared" si="38"/>
        <v>2244</v>
      </c>
      <c r="J83" s="118">
        <f t="shared" si="39"/>
        <v>47.66</v>
      </c>
      <c r="K83" s="153">
        <f t="shared" si="40"/>
        <v>0</v>
      </c>
      <c r="L83" s="153">
        <f t="shared" si="41"/>
        <v>0</v>
      </c>
      <c r="M83" s="118">
        <f t="shared" si="42"/>
        <v>2291.66</v>
      </c>
      <c r="N83" s="122"/>
      <c r="O83" s="48"/>
    </row>
    <row r="84" spans="2:15" ht="30" customHeight="1" x14ac:dyDescent="0.2">
      <c r="B84" s="202">
        <v>60</v>
      </c>
      <c r="C84" s="212" t="s">
        <v>361</v>
      </c>
      <c r="D84" s="219" t="s">
        <v>373</v>
      </c>
      <c r="E84" s="203" t="s">
        <v>65</v>
      </c>
      <c r="F84" s="74"/>
      <c r="G84" s="204">
        <v>15</v>
      </c>
      <c r="H84" s="196">
        <v>117.8664</v>
      </c>
      <c r="I84" s="118">
        <f t="shared" si="38"/>
        <v>1768</v>
      </c>
      <c r="J84" s="118">
        <f t="shared" si="39"/>
        <v>92.06</v>
      </c>
      <c r="K84" s="153">
        <f t="shared" si="40"/>
        <v>0</v>
      </c>
      <c r="L84" s="153">
        <f t="shared" si="41"/>
        <v>0</v>
      </c>
      <c r="M84" s="118">
        <f t="shared" si="42"/>
        <v>1860.06</v>
      </c>
      <c r="N84" s="122"/>
      <c r="O84" s="48"/>
    </row>
    <row r="85" spans="2:15" ht="30" customHeight="1" x14ac:dyDescent="0.2">
      <c r="B85" s="202">
        <v>61</v>
      </c>
      <c r="C85" s="212" t="s">
        <v>361</v>
      </c>
      <c r="D85" s="219" t="s">
        <v>218</v>
      </c>
      <c r="E85" s="203" t="s">
        <v>65</v>
      </c>
      <c r="F85" s="74"/>
      <c r="G85" s="204">
        <v>15</v>
      </c>
      <c r="H85" s="196">
        <v>117.8664</v>
      </c>
      <c r="I85" s="118">
        <f t="shared" si="38"/>
        <v>1768</v>
      </c>
      <c r="J85" s="118">
        <f t="shared" si="39"/>
        <v>92.06</v>
      </c>
      <c r="K85" s="153">
        <f t="shared" si="40"/>
        <v>0</v>
      </c>
      <c r="L85" s="153">
        <f t="shared" si="41"/>
        <v>0</v>
      </c>
      <c r="M85" s="118">
        <f t="shared" si="42"/>
        <v>1860.06</v>
      </c>
      <c r="N85" s="122"/>
      <c r="O85" s="48"/>
    </row>
    <row r="86" spans="2:15" ht="30" customHeight="1" x14ac:dyDescent="0.2">
      <c r="B86" s="202">
        <v>62</v>
      </c>
      <c r="C86" s="212"/>
      <c r="D86" s="203" t="s">
        <v>219</v>
      </c>
      <c r="E86" s="203" t="s">
        <v>103</v>
      </c>
      <c r="F86" s="74"/>
      <c r="G86" s="204">
        <v>15</v>
      </c>
      <c r="H86" s="196">
        <v>98.666399999999996</v>
      </c>
      <c r="I86" s="118">
        <f t="shared" si="38"/>
        <v>1480</v>
      </c>
      <c r="J86" s="118">
        <f t="shared" si="39"/>
        <v>122.41</v>
      </c>
      <c r="K86" s="153">
        <f t="shared" si="40"/>
        <v>0</v>
      </c>
      <c r="L86" s="153">
        <f t="shared" si="41"/>
        <v>0</v>
      </c>
      <c r="M86" s="118">
        <f t="shared" si="42"/>
        <v>1602.41</v>
      </c>
      <c r="N86" s="122"/>
      <c r="O86" s="48"/>
    </row>
    <row r="87" spans="2:15" ht="30" customHeight="1" x14ac:dyDescent="0.2">
      <c r="B87" s="202">
        <v>63</v>
      </c>
      <c r="C87" s="212" t="s">
        <v>361</v>
      </c>
      <c r="D87" s="203" t="s">
        <v>381</v>
      </c>
      <c r="E87" s="203" t="s">
        <v>122</v>
      </c>
      <c r="F87" s="204"/>
      <c r="G87" s="204">
        <v>15</v>
      </c>
      <c r="H87" s="196">
        <v>90.132999999999996</v>
      </c>
      <c r="I87" s="118">
        <f t="shared" si="38"/>
        <v>1352</v>
      </c>
      <c r="J87" s="118">
        <f t="shared" si="39"/>
        <v>130.6</v>
      </c>
      <c r="K87" s="153">
        <f t="shared" si="40"/>
        <v>0</v>
      </c>
      <c r="L87" s="153">
        <f t="shared" si="41"/>
        <v>0</v>
      </c>
      <c r="M87" s="118">
        <f t="shared" si="42"/>
        <v>1482.6</v>
      </c>
      <c r="N87" s="122"/>
      <c r="O87" s="48"/>
    </row>
    <row r="88" spans="2:15" ht="30" customHeight="1" x14ac:dyDescent="0.2">
      <c r="B88" s="202"/>
      <c r="C88" s="212"/>
      <c r="D88" s="203"/>
      <c r="E88" s="214" t="s">
        <v>33</v>
      </c>
      <c r="F88" s="413"/>
      <c r="G88" s="414"/>
      <c r="H88" s="415"/>
      <c r="I88" s="119">
        <f>SUM(I82:I87)</f>
        <v>10172</v>
      </c>
      <c r="J88" s="119">
        <f t="shared" ref="J88:N88" si="43">SUM(J82:J87)</f>
        <v>602.08000000000004</v>
      </c>
      <c r="K88" s="154">
        <f t="shared" si="43"/>
        <v>0</v>
      </c>
      <c r="L88" s="154">
        <f t="shared" si="43"/>
        <v>0</v>
      </c>
      <c r="M88" s="119">
        <f>SUM(M82:M87)</f>
        <v>10774.08</v>
      </c>
      <c r="N88" s="123">
        <f t="shared" si="43"/>
        <v>0</v>
      </c>
      <c r="O88" s="48"/>
    </row>
    <row r="89" spans="2:15" ht="30" customHeight="1" x14ac:dyDescent="0.2">
      <c r="B89" s="416" t="s">
        <v>52</v>
      </c>
      <c r="C89" s="417"/>
      <c r="D89" s="418"/>
      <c r="E89" s="418"/>
      <c r="F89" s="418"/>
      <c r="G89" s="418"/>
      <c r="H89" s="418"/>
      <c r="I89" s="418"/>
      <c r="J89" s="418"/>
      <c r="K89" s="418"/>
      <c r="L89" s="418"/>
      <c r="M89" s="418"/>
      <c r="N89" s="419"/>
      <c r="O89" s="48"/>
    </row>
    <row r="90" spans="2:15" s="5" customFormat="1" ht="30" customHeight="1" x14ac:dyDescent="0.2">
      <c r="B90" s="202">
        <v>64</v>
      </c>
      <c r="C90" s="212"/>
      <c r="D90" s="219" t="s">
        <v>220</v>
      </c>
      <c r="E90" s="203" t="s">
        <v>97</v>
      </c>
      <c r="F90" s="74"/>
      <c r="G90" s="204">
        <v>15</v>
      </c>
      <c r="H90" s="196">
        <v>110.93300000000001</v>
      </c>
      <c r="I90" s="118">
        <f t="shared" ref="I90:I103" si="44">ROUND(G90*H90,2)</f>
        <v>1664</v>
      </c>
      <c r="J90" s="118">
        <f t="shared" ref="J90:J103" si="45"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110.63</v>
      </c>
      <c r="K90" s="153">
        <f t="shared" ref="K90:K103" si="46">IF(H90&lt;=248.93,0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0</v>
      </c>
      <c r="L90" s="153">
        <f t="shared" ref="L90:L103" si="47">K90</f>
        <v>0</v>
      </c>
      <c r="M90" s="118">
        <f t="shared" ref="M90:M103" si="48">I90+J90-L90</f>
        <v>1774.63</v>
      </c>
      <c r="N90" s="122"/>
      <c r="O90" s="48"/>
    </row>
    <row r="91" spans="2:15" ht="30" customHeight="1" x14ac:dyDescent="0.2">
      <c r="B91" s="202">
        <v>65</v>
      </c>
      <c r="C91" s="212"/>
      <c r="D91" s="203" t="s">
        <v>221</v>
      </c>
      <c r="E91" s="203" t="s">
        <v>54</v>
      </c>
      <c r="F91" s="74"/>
      <c r="G91" s="204">
        <v>15</v>
      </c>
      <c r="H91" s="196">
        <v>113.733</v>
      </c>
      <c r="I91" s="118">
        <f t="shared" si="44"/>
        <v>1706</v>
      </c>
      <c r="J91" s="118">
        <f t="shared" si="45"/>
        <v>107.94</v>
      </c>
      <c r="K91" s="153">
        <f t="shared" si="46"/>
        <v>0</v>
      </c>
      <c r="L91" s="153">
        <f t="shared" si="47"/>
        <v>0</v>
      </c>
      <c r="M91" s="118">
        <f t="shared" si="48"/>
        <v>1813.94</v>
      </c>
      <c r="N91" s="122"/>
      <c r="O91" s="48"/>
    </row>
    <row r="92" spans="2:15" ht="30" customHeight="1" x14ac:dyDescent="0.2">
      <c r="B92" s="202">
        <v>66</v>
      </c>
      <c r="C92" s="212" t="s">
        <v>361</v>
      </c>
      <c r="D92" s="203" t="s">
        <v>222</v>
      </c>
      <c r="E92" s="203" t="s">
        <v>113</v>
      </c>
      <c r="F92" s="74"/>
      <c r="G92" s="204">
        <v>15</v>
      </c>
      <c r="H92" s="196">
        <v>93.2</v>
      </c>
      <c r="I92" s="118">
        <f t="shared" si="44"/>
        <v>1398</v>
      </c>
      <c r="J92" s="118">
        <f t="shared" si="45"/>
        <v>127.66</v>
      </c>
      <c r="K92" s="153">
        <f t="shared" si="46"/>
        <v>0</v>
      </c>
      <c r="L92" s="153">
        <f t="shared" si="47"/>
        <v>0</v>
      </c>
      <c r="M92" s="118">
        <f t="shared" si="48"/>
        <v>1525.66</v>
      </c>
      <c r="N92" s="122"/>
      <c r="O92" s="48"/>
    </row>
    <row r="93" spans="2:15" ht="30" customHeight="1" x14ac:dyDescent="0.2">
      <c r="B93" s="202">
        <v>67</v>
      </c>
      <c r="C93" s="212"/>
      <c r="D93" s="203" t="s">
        <v>223</v>
      </c>
      <c r="E93" s="203" t="s">
        <v>106</v>
      </c>
      <c r="F93" s="74"/>
      <c r="G93" s="204">
        <v>15</v>
      </c>
      <c r="H93" s="196">
        <v>295.733</v>
      </c>
      <c r="I93" s="118">
        <f t="shared" si="44"/>
        <v>4436</v>
      </c>
      <c r="J93" s="153">
        <f t="shared" si="45"/>
        <v>0</v>
      </c>
      <c r="K93" s="118">
        <f t="shared" si="46"/>
        <v>326.17</v>
      </c>
      <c r="L93" s="118">
        <f t="shared" si="47"/>
        <v>326.17</v>
      </c>
      <c r="M93" s="118">
        <f t="shared" si="48"/>
        <v>4109.83</v>
      </c>
      <c r="N93" s="122"/>
      <c r="O93" s="48"/>
    </row>
    <row r="94" spans="2:15" s="5" customFormat="1" ht="30" customHeight="1" x14ac:dyDescent="0.2">
      <c r="B94" s="202">
        <v>68</v>
      </c>
      <c r="C94" s="212"/>
      <c r="D94" s="203" t="s">
        <v>224</v>
      </c>
      <c r="E94" s="203" t="s">
        <v>38</v>
      </c>
      <c r="F94" s="74"/>
      <c r="G94" s="204">
        <v>15</v>
      </c>
      <c r="H94" s="196">
        <v>111.6</v>
      </c>
      <c r="I94" s="118">
        <f>ROUND(G94*H94,2)</f>
        <v>1674</v>
      </c>
      <c r="J94" s="118">
        <f t="shared" si="45"/>
        <v>109.99</v>
      </c>
      <c r="K94" s="153">
        <f t="shared" si="46"/>
        <v>0</v>
      </c>
      <c r="L94" s="153">
        <f t="shared" si="47"/>
        <v>0</v>
      </c>
      <c r="M94" s="118">
        <f t="shared" si="48"/>
        <v>1783.99</v>
      </c>
      <c r="N94" s="122"/>
      <c r="O94" s="48"/>
    </row>
    <row r="95" spans="2:15" ht="30" customHeight="1" x14ac:dyDescent="0.2">
      <c r="B95" s="202">
        <v>69</v>
      </c>
      <c r="C95" s="212"/>
      <c r="D95" s="203" t="s">
        <v>225</v>
      </c>
      <c r="E95" s="203" t="s">
        <v>120</v>
      </c>
      <c r="F95" s="74"/>
      <c r="G95" s="204">
        <v>15</v>
      </c>
      <c r="H95" s="196">
        <v>111.6</v>
      </c>
      <c r="I95" s="118">
        <f>ROUND(G95*H95,2)</f>
        <v>1674</v>
      </c>
      <c r="J95" s="118">
        <f t="shared" si="45"/>
        <v>109.99</v>
      </c>
      <c r="K95" s="153">
        <f t="shared" si="46"/>
        <v>0</v>
      </c>
      <c r="L95" s="153">
        <f t="shared" si="47"/>
        <v>0</v>
      </c>
      <c r="M95" s="118">
        <f t="shared" si="48"/>
        <v>1783.99</v>
      </c>
      <c r="N95" s="122"/>
      <c r="O95" s="48"/>
    </row>
    <row r="96" spans="2:15" ht="30" customHeight="1" x14ac:dyDescent="0.2">
      <c r="B96" s="202">
        <v>70</v>
      </c>
      <c r="C96" s="212"/>
      <c r="D96" s="203" t="s">
        <v>227</v>
      </c>
      <c r="E96" s="203" t="s">
        <v>69</v>
      </c>
      <c r="F96" s="204"/>
      <c r="G96" s="204">
        <v>15</v>
      </c>
      <c r="H96" s="196">
        <v>81.666399999999996</v>
      </c>
      <c r="I96" s="118">
        <f t="shared" si="44"/>
        <v>1225</v>
      </c>
      <c r="J96" s="118">
        <f t="shared" si="45"/>
        <v>138.83000000000001</v>
      </c>
      <c r="K96" s="153">
        <f t="shared" si="46"/>
        <v>0</v>
      </c>
      <c r="L96" s="153">
        <f t="shared" si="47"/>
        <v>0</v>
      </c>
      <c r="M96" s="118">
        <f t="shared" si="48"/>
        <v>1363.83</v>
      </c>
      <c r="N96" s="122"/>
      <c r="O96" s="48"/>
    </row>
    <row r="97" spans="1:15" ht="30" customHeight="1" x14ac:dyDescent="0.2">
      <c r="B97" s="202">
        <v>71</v>
      </c>
      <c r="C97" s="212" t="s">
        <v>361</v>
      </c>
      <c r="D97" s="203" t="s">
        <v>226</v>
      </c>
      <c r="E97" s="203" t="s">
        <v>66</v>
      </c>
      <c r="F97" s="74"/>
      <c r="G97" s="204">
        <v>15</v>
      </c>
      <c r="H97" s="196">
        <v>210.46639999999999</v>
      </c>
      <c r="I97" s="118">
        <f t="shared" si="44"/>
        <v>3157</v>
      </c>
      <c r="J97" s="153">
        <f t="shared" si="45"/>
        <v>0</v>
      </c>
      <c r="K97" s="153">
        <f t="shared" si="46"/>
        <v>0</v>
      </c>
      <c r="L97" s="153">
        <f t="shared" si="47"/>
        <v>0</v>
      </c>
      <c r="M97" s="118">
        <f t="shared" si="48"/>
        <v>3157</v>
      </c>
      <c r="N97" s="122"/>
      <c r="O97" s="48"/>
    </row>
    <row r="98" spans="1:15" ht="30" customHeight="1" x14ac:dyDescent="0.2">
      <c r="B98" s="202">
        <v>72</v>
      </c>
      <c r="C98" s="212"/>
      <c r="D98" s="203" t="s">
        <v>228</v>
      </c>
      <c r="E98" s="203" t="s">
        <v>56</v>
      </c>
      <c r="F98" s="74"/>
      <c r="G98" s="204">
        <v>15</v>
      </c>
      <c r="H98" s="196">
        <v>81.866399999999999</v>
      </c>
      <c r="I98" s="118">
        <f t="shared" si="44"/>
        <v>1228</v>
      </c>
      <c r="J98" s="118">
        <f t="shared" si="45"/>
        <v>138.63999999999999</v>
      </c>
      <c r="K98" s="153">
        <f t="shared" si="46"/>
        <v>0</v>
      </c>
      <c r="L98" s="153">
        <f t="shared" si="47"/>
        <v>0</v>
      </c>
      <c r="M98" s="118">
        <f t="shared" si="48"/>
        <v>1366.6399999999999</v>
      </c>
      <c r="N98" s="122"/>
      <c r="O98" s="48"/>
    </row>
    <row r="99" spans="1:15" ht="30" customHeight="1" x14ac:dyDescent="0.2">
      <c r="B99" s="202">
        <v>73</v>
      </c>
      <c r="C99" s="212" t="s">
        <v>361</v>
      </c>
      <c r="D99" s="203" t="s">
        <v>375</v>
      </c>
      <c r="E99" s="203" t="s">
        <v>56</v>
      </c>
      <c r="F99" s="74"/>
      <c r="G99" s="204">
        <v>15</v>
      </c>
      <c r="H99" s="196">
        <v>81.866399999999999</v>
      </c>
      <c r="I99" s="118">
        <f t="shared" ref="I99" si="49">ROUND(G99*H99,2)</f>
        <v>1228</v>
      </c>
      <c r="J99" s="118">
        <f t="shared" ref="J99" si="50">IFERROR(IF(ROUND((((I99/G99*30.4)-VLOOKUP((I99/G99*30.4),TARIFA,1))*VLOOKUP((I99/G99*30.4),TARIFA,3)+VLOOKUP((I99/G99*30.4),TARIFA,2)-VLOOKUP((I99/G99*30.4),SUBSIDIO,2))/30.4*G99,2)&lt;0,ROUND(-(((I99/G99*30.4)-VLOOKUP((I99/G99*30.4),TARIFA,1))*VLOOKUP((I99/G99*30.4),TARIFA,3)+VLOOKUP((I99/G99*30.4),TARIFA,2)-VLOOKUP((I99/G99*30.4),SUBSIDIO,2))/30.4*G99,2),0),0)</f>
        <v>138.63999999999999</v>
      </c>
      <c r="K99" s="153">
        <f t="shared" si="46"/>
        <v>0</v>
      </c>
      <c r="L99" s="153">
        <f t="shared" ref="L99" si="51">K99</f>
        <v>0</v>
      </c>
      <c r="M99" s="118">
        <f t="shared" ref="M99" si="52">I99+J99-L99</f>
        <v>1366.6399999999999</v>
      </c>
      <c r="N99" s="122"/>
      <c r="O99" s="48"/>
    </row>
    <row r="100" spans="1:15" ht="30" customHeight="1" x14ac:dyDescent="0.2">
      <c r="B100" s="202">
        <v>74</v>
      </c>
      <c r="C100" s="212"/>
      <c r="D100" s="203" t="s">
        <v>229</v>
      </c>
      <c r="E100" s="203" t="s">
        <v>65</v>
      </c>
      <c r="F100" s="74"/>
      <c r="G100" s="204">
        <v>15</v>
      </c>
      <c r="H100" s="196">
        <v>177.53299999999999</v>
      </c>
      <c r="I100" s="118">
        <f t="shared" si="44"/>
        <v>2663</v>
      </c>
      <c r="J100" s="153">
        <f t="shared" si="45"/>
        <v>0</v>
      </c>
      <c r="K100" s="153">
        <f t="shared" si="46"/>
        <v>0</v>
      </c>
      <c r="L100" s="153">
        <f t="shared" si="47"/>
        <v>0</v>
      </c>
      <c r="M100" s="118">
        <f t="shared" si="48"/>
        <v>2663</v>
      </c>
      <c r="N100" s="122"/>
      <c r="O100" s="48"/>
    </row>
    <row r="101" spans="1:15" ht="30" customHeight="1" x14ac:dyDescent="0.2">
      <c r="B101" s="202">
        <v>75</v>
      </c>
      <c r="C101" s="212"/>
      <c r="D101" s="203" t="s">
        <v>230</v>
      </c>
      <c r="E101" s="203" t="s">
        <v>119</v>
      </c>
      <c r="F101" s="74"/>
      <c r="G101" s="204">
        <v>15</v>
      </c>
      <c r="H101" s="196">
        <v>81.866399999999999</v>
      </c>
      <c r="I101" s="118">
        <f t="shared" si="44"/>
        <v>1228</v>
      </c>
      <c r="J101" s="118">
        <f t="shared" si="45"/>
        <v>138.63999999999999</v>
      </c>
      <c r="K101" s="153">
        <f t="shared" si="46"/>
        <v>0</v>
      </c>
      <c r="L101" s="153">
        <f t="shared" si="47"/>
        <v>0</v>
      </c>
      <c r="M101" s="118">
        <f t="shared" si="48"/>
        <v>1366.6399999999999</v>
      </c>
      <c r="N101" s="122"/>
      <c r="O101" s="48"/>
    </row>
    <row r="102" spans="1:15" ht="30" customHeight="1" x14ac:dyDescent="0.2">
      <c r="B102" s="202">
        <v>76</v>
      </c>
      <c r="C102" s="212" t="s">
        <v>361</v>
      </c>
      <c r="D102" s="203" t="s">
        <v>370</v>
      </c>
      <c r="E102" s="203" t="s">
        <v>54</v>
      </c>
      <c r="F102" s="75"/>
      <c r="G102" s="204">
        <v>15</v>
      </c>
      <c r="H102" s="220">
        <v>95</v>
      </c>
      <c r="I102" s="118">
        <f t="shared" si="44"/>
        <v>1425</v>
      </c>
      <c r="J102" s="118">
        <f t="shared" si="45"/>
        <v>125.93</v>
      </c>
      <c r="K102" s="153">
        <f t="shared" si="46"/>
        <v>0</v>
      </c>
      <c r="L102" s="153">
        <f t="shared" si="47"/>
        <v>0</v>
      </c>
      <c r="M102" s="118">
        <f t="shared" si="48"/>
        <v>1550.93</v>
      </c>
      <c r="N102" s="122"/>
      <c r="O102" s="48"/>
    </row>
    <row r="103" spans="1:15" ht="30" customHeight="1" x14ac:dyDescent="0.2">
      <c r="B103" s="202">
        <v>77</v>
      </c>
      <c r="C103" s="212" t="s">
        <v>361</v>
      </c>
      <c r="D103" s="203" t="s">
        <v>149</v>
      </c>
      <c r="E103" s="203" t="s">
        <v>42</v>
      </c>
      <c r="F103" s="75"/>
      <c r="G103" s="204">
        <v>15</v>
      </c>
      <c r="H103" s="220">
        <v>172.2664</v>
      </c>
      <c r="I103" s="118">
        <f t="shared" si="44"/>
        <v>2584</v>
      </c>
      <c r="J103" s="118">
        <f t="shared" si="45"/>
        <v>11.42</v>
      </c>
      <c r="K103" s="153">
        <f t="shared" si="46"/>
        <v>0</v>
      </c>
      <c r="L103" s="153">
        <f t="shared" si="47"/>
        <v>0</v>
      </c>
      <c r="M103" s="118">
        <f t="shared" si="48"/>
        <v>2595.42</v>
      </c>
      <c r="N103" s="122"/>
      <c r="O103" s="48"/>
    </row>
    <row r="104" spans="1:15" ht="30" customHeight="1" x14ac:dyDescent="0.2">
      <c r="B104" s="202"/>
      <c r="C104" s="212"/>
      <c r="D104" s="203"/>
      <c r="E104" s="214" t="s">
        <v>33</v>
      </c>
      <c r="F104" s="413"/>
      <c r="G104" s="414"/>
      <c r="H104" s="415"/>
      <c r="I104" s="119">
        <f t="shared" ref="I104:N104" si="53">SUM(I90:I103)</f>
        <v>27290</v>
      </c>
      <c r="J104" s="119">
        <f t="shared" si="53"/>
        <v>1258.3100000000002</v>
      </c>
      <c r="K104" s="119">
        <f t="shared" si="53"/>
        <v>326.17</v>
      </c>
      <c r="L104" s="119">
        <f t="shared" si="53"/>
        <v>326.17</v>
      </c>
      <c r="M104" s="119">
        <f t="shared" si="53"/>
        <v>28222.14</v>
      </c>
      <c r="N104" s="123">
        <f t="shared" si="53"/>
        <v>0</v>
      </c>
      <c r="O104" s="48"/>
    </row>
    <row r="105" spans="1:15" ht="30" customHeight="1" x14ac:dyDescent="0.2">
      <c r="B105" s="416" t="s">
        <v>53</v>
      </c>
      <c r="C105" s="417"/>
      <c r="D105" s="418"/>
      <c r="E105" s="418"/>
      <c r="F105" s="418"/>
      <c r="G105" s="418"/>
      <c r="H105" s="418"/>
      <c r="I105" s="418"/>
      <c r="J105" s="418"/>
      <c r="K105" s="418"/>
      <c r="L105" s="418"/>
      <c r="M105" s="418"/>
      <c r="N105" s="419"/>
      <c r="O105" s="48"/>
    </row>
    <row r="106" spans="1:15" ht="30" customHeight="1" x14ac:dyDescent="0.2">
      <c r="B106" s="202">
        <v>78</v>
      </c>
      <c r="C106" s="212"/>
      <c r="D106" s="203" t="s">
        <v>189</v>
      </c>
      <c r="E106" s="203" t="s">
        <v>56</v>
      </c>
      <c r="F106" s="74"/>
      <c r="G106" s="204">
        <v>15</v>
      </c>
      <c r="H106" s="196">
        <v>122.8664</v>
      </c>
      <c r="I106" s="118">
        <f t="shared" ref="I106:I119" si="54">ROUND(G106*H106,2)</f>
        <v>1843</v>
      </c>
      <c r="J106" s="118">
        <f t="shared" ref="J106:J119" si="55">IFERROR(IF(ROUND((((I106/G106*30.4)-VLOOKUP((I106/G106*30.4),TARIFA,1))*VLOOKUP((I106/G106*30.4),TARIFA,3)+VLOOKUP((I106/G106*30.4),TARIFA,2)-VLOOKUP((I106/G106*30.4),SUBSIDIO,2))/30.4*G106,2)&lt;0,ROUND(-(((I106/G106*30.4)-VLOOKUP((I106/G106*30.4),TARIFA,1))*VLOOKUP((I106/G106*30.4),TARIFA,3)+VLOOKUP((I106/G106*30.4),TARIFA,2)-VLOOKUP((I106/G106*30.4),SUBSIDIO,2))/30.4*G106,2),0),0)</f>
        <v>87.26</v>
      </c>
      <c r="K106" s="153">
        <f t="shared" ref="K106:K119" si="56">IF(H106&lt;=248.93,0,(IFERROR(IF(ROUND((((I106/G106*30.4)-VLOOKUP((I106/G106*30.4),TARIFA,1))*VLOOKUP((I106/G106*30.4),TARIFA,3)+VLOOKUP((I106/G106*30.4),TARIFA,2)-VLOOKUP((I106/G106*30.4),SUBSIDIO,2))/30.4*G106,2)&gt;0,ROUND((((I106/G106*30.4)-VLOOKUP((I106/G106*30.4),TARIFA,1))*VLOOKUP((I106/G106*30.4),TARIFA,3)+VLOOKUP((I106/G106*30.4),TARIFA,2)-VLOOKUP((I106/G106*30.4),SUBSIDIO,2))/30.4*G106,2),0),0)))</f>
        <v>0</v>
      </c>
      <c r="L106" s="153">
        <f t="shared" ref="L106:L119" si="57">K106</f>
        <v>0</v>
      </c>
      <c r="M106" s="118">
        <f t="shared" ref="M106:M119" si="58">I106+J106-L106</f>
        <v>1930.26</v>
      </c>
      <c r="N106" s="122"/>
      <c r="O106" s="48"/>
    </row>
    <row r="107" spans="1:15" ht="30" customHeight="1" x14ac:dyDescent="0.2">
      <c r="B107" s="202">
        <v>79</v>
      </c>
      <c r="C107" s="212" t="s">
        <v>361</v>
      </c>
      <c r="D107" s="203" t="s">
        <v>162</v>
      </c>
      <c r="E107" s="203" t="s">
        <v>123</v>
      </c>
      <c r="F107" s="74"/>
      <c r="G107" s="204">
        <v>15</v>
      </c>
      <c r="H107" s="196">
        <v>82</v>
      </c>
      <c r="I107" s="118">
        <f t="shared" si="54"/>
        <v>1230</v>
      </c>
      <c r="J107" s="118">
        <f t="shared" si="55"/>
        <v>138.51</v>
      </c>
      <c r="K107" s="153">
        <f t="shared" si="56"/>
        <v>0</v>
      </c>
      <c r="L107" s="153">
        <f t="shared" si="57"/>
        <v>0</v>
      </c>
      <c r="M107" s="118">
        <f t="shared" si="58"/>
        <v>1368.51</v>
      </c>
      <c r="N107" s="122"/>
      <c r="O107" s="48"/>
    </row>
    <row r="108" spans="1:15" ht="30" customHeight="1" x14ac:dyDescent="0.2">
      <c r="A108" s="28">
        <v>82</v>
      </c>
      <c r="B108" s="202">
        <v>80</v>
      </c>
      <c r="C108" s="212"/>
      <c r="D108" s="203" t="s">
        <v>231</v>
      </c>
      <c r="E108" s="203" t="s">
        <v>123</v>
      </c>
      <c r="F108" s="74"/>
      <c r="G108" s="204">
        <v>15</v>
      </c>
      <c r="H108" s="196">
        <v>82</v>
      </c>
      <c r="I108" s="118">
        <f t="shared" si="54"/>
        <v>1230</v>
      </c>
      <c r="J108" s="118">
        <f t="shared" si="55"/>
        <v>138.51</v>
      </c>
      <c r="K108" s="153">
        <f t="shared" si="56"/>
        <v>0</v>
      </c>
      <c r="L108" s="153">
        <f t="shared" si="57"/>
        <v>0</v>
      </c>
      <c r="M108" s="118">
        <f t="shared" si="58"/>
        <v>1368.51</v>
      </c>
      <c r="N108" s="122"/>
      <c r="O108" s="48"/>
    </row>
    <row r="109" spans="1:15" ht="30" customHeight="1" x14ac:dyDescent="0.2">
      <c r="B109" s="202">
        <v>81</v>
      </c>
      <c r="C109" s="212"/>
      <c r="D109" s="203" t="s">
        <v>408</v>
      </c>
      <c r="E109" s="203" t="s">
        <v>65</v>
      </c>
      <c r="F109" s="74"/>
      <c r="G109" s="204">
        <v>15</v>
      </c>
      <c r="H109" s="196">
        <v>195</v>
      </c>
      <c r="I109" s="118">
        <f t="shared" si="54"/>
        <v>2925</v>
      </c>
      <c r="J109" s="153">
        <f t="shared" si="55"/>
        <v>0</v>
      </c>
      <c r="K109" s="153">
        <f t="shared" si="56"/>
        <v>0</v>
      </c>
      <c r="L109" s="153">
        <f>K109</f>
        <v>0</v>
      </c>
      <c r="M109" s="118">
        <f>I109+J109-L109</f>
        <v>2925</v>
      </c>
      <c r="N109" s="122"/>
      <c r="O109" s="48"/>
    </row>
    <row r="110" spans="1:15" ht="30" customHeight="1" x14ac:dyDescent="0.2">
      <c r="B110" s="202">
        <v>82</v>
      </c>
      <c r="C110" s="212" t="s">
        <v>361</v>
      </c>
      <c r="D110" s="203" t="s">
        <v>409</v>
      </c>
      <c r="E110" s="203" t="s">
        <v>67</v>
      </c>
      <c r="F110" s="74"/>
      <c r="G110" s="204">
        <v>15</v>
      </c>
      <c r="H110" s="196">
        <v>104</v>
      </c>
      <c r="I110" s="118">
        <f t="shared" si="54"/>
        <v>1560</v>
      </c>
      <c r="J110" s="118">
        <f t="shared" si="55"/>
        <v>117.29</v>
      </c>
      <c r="K110" s="153">
        <f t="shared" si="56"/>
        <v>0</v>
      </c>
      <c r="L110" s="153">
        <f t="shared" si="57"/>
        <v>0</v>
      </c>
      <c r="M110" s="118">
        <f t="shared" si="58"/>
        <v>1677.29</v>
      </c>
      <c r="N110" s="122"/>
      <c r="O110" s="48"/>
    </row>
    <row r="111" spans="1:15" ht="30" customHeight="1" x14ac:dyDescent="0.2">
      <c r="B111" s="202">
        <v>83</v>
      </c>
      <c r="C111" s="212" t="s">
        <v>361</v>
      </c>
      <c r="D111" s="203" t="s">
        <v>401</v>
      </c>
      <c r="E111" s="203" t="s">
        <v>65</v>
      </c>
      <c r="F111" s="74"/>
      <c r="G111" s="204">
        <v>15</v>
      </c>
      <c r="H111" s="196">
        <v>193.2</v>
      </c>
      <c r="I111" s="118">
        <f t="shared" si="54"/>
        <v>2898</v>
      </c>
      <c r="J111" s="153">
        <f t="shared" si="55"/>
        <v>0</v>
      </c>
      <c r="K111" s="153">
        <f t="shared" si="56"/>
        <v>0</v>
      </c>
      <c r="L111" s="153">
        <f>K111</f>
        <v>0</v>
      </c>
      <c r="M111" s="118">
        <f>I111+J111-L111</f>
        <v>2898</v>
      </c>
      <c r="N111" s="122"/>
      <c r="O111" s="48"/>
    </row>
    <row r="112" spans="1:15" ht="30" customHeight="1" x14ac:dyDescent="0.2">
      <c r="B112" s="202">
        <v>84</v>
      </c>
      <c r="C112" s="212" t="s">
        <v>361</v>
      </c>
      <c r="D112" s="203" t="s">
        <v>232</v>
      </c>
      <c r="E112" s="203" t="s">
        <v>67</v>
      </c>
      <c r="F112" s="74"/>
      <c r="G112" s="204">
        <v>15</v>
      </c>
      <c r="H112" s="196">
        <v>83.2</v>
      </c>
      <c r="I112" s="118">
        <f t="shared" si="54"/>
        <v>1248</v>
      </c>
      <c r="J112" s="118">
        <f t="shared" si="55"/>
        <v>137.36000000000001</v>
      </c>
      <c r="K112" s="153">
        <f t="shared" si="56"/>
        <v>0</v>
      </c>
      <c r="L112" s="153">
        <f t="shared" si="57"/>
        <v>0</v>
      </c>
      <c r="M112" s="118">
        <f t="shared" si="58"/>
        <v>1385.3600000000001</v>
      </c>
      <c r="N112" s="122"/>
      <c r="O112" s="48"/>
    </row>
    <row r="113" spans="1:15" ht="30" customHeight="1" x14ac:dyDescent="0.2">
      <c r="B113" s="202">
        <v>85</v>
      </c>
      <c r="C113" s="212"/>
      <c r="D113" s="203" t="s">
        <v>152</v>
      </c>
      <c r="E113" s="203" t="s">
        <v>67</v>
      </c>
      <c r="F113" s="74"/>
      <c r="G113" s="204">
        <v>15</v>
      </c>
      <c r="H113" s="196">
        <v>102.6</v>
      </c>
      <c r="I113" s="118">
        <f t="shared" si="54"/>
        <v>1539</v>
      </c>
      <c r="J113" s="118">
        <f t="shared" si="55"/>
        <v>118.63</v>
      </c>
      <c r="K113" s="153">
        <f t="shared" si="56"/>
        <v>0</v>
      </c>
      <c r="L113" s="153">
        <f t="shared" si="57"/>
        <v>0</v>
      </c>
      <c r="M113" s="118">
        <f t="shared" si="58"/>
        <v>1657.63</v>
      </c>
      <c r="N113" s="122"/>
      <c r="O113" s="48"/>
    </row>
    <row r="114" spans="1:15" ht="30" customHeight="1" x14ac:dyDescent="0.2">
      <c r="B114" s="202">
        <v>86</v>
      </c>
      <c r="C114" s="212" t="s">
        <v>361</v>
      </c>
      <c r="D114" s="203" t="s">
        <v>238</v>
      </c>
      <c r="E114" s="203" t="s">
        <v>71</v>
      </c>
      <c r="F114" s="74"/>
      <c r="G114" s="204">
        <v>15</v>
      </c>
      <c r="H114" s="196">
        <v>129.733</v>
      </c>
      <c r="I114" s="118">
        <f t="shared" si="54"/>
        <v>1946</v>
      </c>
      <c r="J114" s="118">
        <f t="shared" si="55"/>
        <v>80.66</v>
      </c>
      <c r="K114" s="153">
        <f t="shared" si="56"/>
        <v>0</v>
      </c>
      <c r="L114" s="153">
        <f t="shared" si="57"/>
        <v>0</v>
      </c>
      <c r="M114" s="118">
        <f t="shared" si="58"/>
        <v>2026.66</v>
      </c>
      <c r="N114" s="122"/>
      <c r="O114" s="48"/>
    </row>
    <row r="115" spans="1:15" ht="30" customHeight="1" x14ac:dyDescent="0.2">
      <c r="B115" s="202">
        <v>87</v>
      </c>
      <c r="C115" s="212"/>
      <c r="D115" s="203" t="s">
        <v>237</v>
      </c>
      <c r="E115" s="203" t="s">
        <v>70</v>
      </c>
      <c r="F115" s="74"/>
      <c r="G115" s="204">
        <v>15</v>
      </c>
      <c r="H115" s="196">
        <v>220.8</v>
      </c>
      <c r="I115" s="118">
        <f t="shared" si="54"/>
        <v>3312</v>
      </c>
      <c r="J115" s="153">
        <f t="shared" si="55"/>
        <v>0</v>
      </c>
      <c r="K115" s="153">
        <f t="shared" si="56"/>
        <v>0</v>
      </c>
      <c r="L115" s="153">
        <f t="shared" si="57"/>
        <v>0</v>
      </c>
      <c r="M115" s="118">
        <f t="shared" si="58"/>
        <v>3312</v>
      </c>
      <c r="N115" s="122"/>
      <c r="O115" s="48"/>
    </row>
    <row r="116" spans="1:15" ht="30" customHeight="1" x14ac:dyDescent="0.2">
      <c r="B116" s="202">
        <v>88</v>
      </c>
      <c r="C116" s="212" t="s">
        <v>361</v>
      </c>
      <c r="D116" s="203" t="s">
        <v>236</v>
      </c>
      <c r="E116" s="203" t="s">
        <v>70</v>
      </c>
      <c r="F116" s="74"/>
      <c r="G116" s="204">
        <v>15</v>
      </c>
      <c r="H116" s="196">
        <v>104</v>
      </c>
      <c r="I116" s="118">
        <f t="shared" si="54"/>
        <v>1560</v>
      </c>
      <c r="J116" s="118">
        <f t="shared" si="55"/>
        <v>117.29</v>
      </c>
      <c r="K116" s="153">
        <f t="shared" si="56"/>
        <v>0</v>
      </c>
      <c r="L116" s="153">
        <f t="shared" si="57"/>
        <v>0</v>
      </c>
      <c r="M116" s="118">
        <f t="shared" si="58"/>
        <v>1677.29</v>
      </c>
      <c r="N116" s="122"/>
      <c r="O116" s="48"/>
    </row>
    <row r="117" spans="1:15" s="316" customFormat="1" ht="30" customHeight="1" x14ac:dyDescent="0.2">
      <c r="A117" s="28"/>
      <c r="B117" s="202">
        <v>89</v>
      </c>
      <c r="C117" s="212" t="s">
        <v>361</v>
      </c>
      <c r="D117" s="203" t="s">
        <v>235</v>
      </c>
      <c r="E117" s="203" t="s">
        <v>37</v>
      </c>
      <c r="F117" s="74"/>
      <c r="G117" s="204">
        <v>15</v>
      </c>
      <c r="H117" s="196">
        <v>138.66640000000001</v>
      </c>
      <c r="I117" s="118">
        <f t="shared" si="54"/>
        <v>2080</v>
      </c>
      <c r="J117" s="118">
        <f t="shared" si="55"/>
        <v>72.09</v>
      </c>
      <c r="K117" s="153">
        <f t="shared" si="56"/>
        <v>0</v>
      </c>
      <c r="L117" s="153">
        <f t="shared" si="57"/>
        <v>0</v>
      </c>
      <c r="M117" s="118">
        <f t="shared" si="58"/>
        <v>2152.09</v>
      </c>
      <c r="N117" s="122"/>
      <c r="O117" s="85"/>
    </row>
    <row r="118" spans="1:15" s="316" customFormat="1" ht="30" customHeight="1" x14ac:dyDescent="0.2">
      <c r="A118" s="28"/>
      <c r="B118" s="202">
        <v>90</v>
      </c>
      <c r="C118" s="212"/>
      <c r="D118" s="203" t="s">
        <v>234</v>
      </c>
      <c r="E118" s="203" t="s">
        <v>124</v>
      </c>
      <c r="F118" s="74"/>
      <c r="G118" s="204">
        <v>15</v>
      </c>
      <c r="H118" s="196">
        <v>133.6</v>
      </c>
      <c r="I118" s="118">
        <f t="shared" si="54"/>
        <v>2004</v>
      </c>
      <c r="J118" s="118">
        <f t="shared" si="55"/>
        <v>76.95</v>
      </c>
      <c r="K118" s="153">
        <f t="shared" si="56"/>
        <v>0</v>
      </c>
      <c r="L118" s="153">
        <f t="shared" si="57"/>
        <v>0</v>
      </c>
      <c r="M118" s="118">
        <f t="shared" si="58"/>
        <v>2080.9499999999998</v>
      </c>
      <c r="N118" s="122"/>
      <c r="O118" s="85"/>
    </row>
    <row r="119" spans="1:15" s="316" customFormat="1" ht="30" customHeight="1" x14ac:dyDescent="0.2">
      <c r="A119" s="28"/>
      <c r="B119" s="202">
        <v>91</v>
      </c>
      <c r="C119" s="212" t="s">
        <v>361</v>
      </c>
      <c r="D119" s="203" t="s">
        <v>233</v>
      </c>
      <c r="E119" s="203" t="s">
        <v>97</v>
      </c>
      <c r="F119" s="74"/>
      <c r="G119" s="204">
        <v>15</v>
      </c>
      <c r="H119" s="196">
        <v>104</v>
      </c>
      <c r="I119" s="118">
        <f t="shared" si="54"/>
        <v>1560</v>
      </c>
      <c r="J119" s="118">
        <f t="shared" si="55"/>
        <v>117.29</v>
      </c>
      <c r="K119" s="153">
        <f t="shared" si="56"/>
        <v>0</v>
      </c>
      <c r="L119" s="153">
        <f t="shared" si="57"/>
        <v>0</v>
      </c>
      <c r="M119" s="118">
        <f t="shared" si="58"/>
        <v>1677.29</v>
      </c>
      <c r="N119" s="122"/>
      <c r="O119" s="85"/>
    </row>
    <row r="120" spans="1:15" ht="30" customHeight="1" x14ac:dyDescent="0.2">
      <c r="B120" s="202"/>
      <c r="C120" s="212"/>
      <c r="D120" s="203"/>
      <c r="E120" s="214" t="s">
        <v>33</v>
      </c>
      <c r="F120" s="413"/>
      <c r="G120" s="414"/>
      <c r="H120" s="415"/>
      <c r="I120" s="119">
        <f t="shared" ref="I120:N120" si="59">SUM(I106:I119)</f>
        <v>26935</v>
      </c>
      <c r="J120" s="119">
        <f t="shared" si="59"/>
        <v>1201.8399999999999</v>
      </c>
      <c r="K120" s="154">
        <f t="shared" si="59"/>
        <v>0</v>
      </c>
      <c r="L120" s="154">
        <f t="shared" si="59"/>
        <v>0</v>
      </c>
      <c r="M120" s="119">
        <f t="shared" si="59"/>
        <v>28136.840000000004</v>
      </c>
      <c r="N120" s="123">
        <f t="shared" si="59"/>
        <v>0</v>
      </c>
      <c r="O120" s="48"/>
    </row>
    <row r="121" spans="1:15" ht="30" customHeight="1" x14ac:dyDescent="0.2">
      <c r="B121" s="416" t="s">
        <v>55</v>
      </c>
      <c r="C121" s="417"/>
      <c r="D121" s="418"/>
      <c r="E121" s="418"/>
      <c r="F121" s="418"/>
      <c r="G121" s="418"/>
      <c r="H121" s="418"/>
      <c r="I121" s="418"/>
      <c r="J121" s="418"/>
      <c r="K121" s="418"/>
      <c r="L121" s="418"/>
      <c r="M121" s="418"/>
      <c r="N121" s="419"/>
      <c r="O121" s="48"/>
    </row>
    <row r="122" spans="1:15" ht="30" customHeight="1" x14ac:dyDescent="0.2">
      <c r="B122" s="202">
        <v>92</v>
      </c>
      <c r="C122" s="212" t="s">
        <v>361</v>
      </c>
      <c r="D122" s="203" t="s">
        <v>239</v>
      </c>
      <c r="E122" s="203" t="s">
        <v>121</v>
      </c>
      <c r="F122" s="74"/>
      <c r="G122" s="204">
        <v>15</v>
      </c>
      <c r="H122" s="215">
        <v>186.2664</v>
      </c>
      <c r="I122" s="118">
        <f t="shared" ref="I122:I126" si="60">ROUND(G122*H122,2)</f>
        <v>2794</v>
      </c>
      <c r="J122" s="153">
        <f t="shared" ref="J122:J126" si="61">IFERROR(IF(ROUND((((I122/G122*30.4)-VLOOKUP((I122/G122*30.4),TARIFA,1))*VLOOKUP((I122/G122*30.4),TARIFA,3)+VLOOKUP((I122/G122*30.4),TARIFA,2)-VLOOKUP((I122/G122*30.4),SUBSIDIO,2))/30.4*G122,2)&lt;0,ROUND(-(((I122/G122*30.4)-VLOOKUP((I122/G122*30.4),TARIFA,1))*VLOOKUP((I122/G122*30.4),TARIFA,3)+VLOOKUP((I122/G122*30.4),TARIFA,2)-VLOOKUP((I122/G122*30.4),SUBSIDIO,2))/30.4*G122,2),0),0)</f>
        <v>0</v>
      </c>
      <c r="K122" s="153">
        <f t="shared" ref="K122:K127" si="62">IF(H122&lt;=248.93,0,(IFERROR(IF(ROUND((((I122/G122*30.4)-VLOOKUP((I122/G122*30.4),TARIFA,1))*VLOOKUP((I122/G122*30.4),TARIFA,3)+VLOOKUP((I122/G122*30.4),TARIFA,2)-VLOOKUP((I122/G122*30.4),SUBSIDIO,2))/30.4*G122,2)&gt;0,ROUND((((I122/G122*30.4)-VLOOKUP((I122/G122*30.4),TARIFA,1))*VLOOKUP((I122/G122*30.4),TARIFA,3)+VLOOKUP((I122/G122*30.4),TARIFA,2)-VLOOKUP((I122/G122*30.4),SUBSIDIO,2))/30.4*G122,2),0),0)))</f>
        <v>0</v>
      </c>
      <c r="L122" s="153">
        <f t="shared" ref="L122:L126" si="63">K122</f>
        <v>0</v>
      </c>
      <c r="M122" s="118">
        <f t="shared" ref="M122:M126" si="64">I122+J122-L122</f>
        <v>2794</v>
      </c>
      <c r="N122" s="122"/>
      <c r="O122" s="48"/>
    </row>
    <row r="123" spans="1:15" ht="30" customHeight="1" x14ac:dyDescent="0.2">
      <c r="B123" s="202">
        <v>93</v>
      </c>
      <c r="C123" s="212" t="s">
        <v>361</v>
      </c>
      <c r="D123" s="203" t="s">
        <v>240</v>
      </c>
      <c r="E123" s="203" t="s">
        <v>56</v>
      </c>
      <c r="F123" s="74"/>
      <c r="G123" s="204">
        <v>15</v>
      </c>
      <c r="H123" s="215">
        <v>138.66640000000001</v>
      </c>
      <c r="I123" s="118">
        <f t="shared" si="60"/>
        <v>2080</v>
      </c>
      <c r="J123" s="118">
        <f t="shared" si="61"/>
        <v>72.09</v>
      </c>
      <c r="K123" s="153">
        <f t="shared" si="62"/>
        <v>0</v>
      </c>
      <c r="L123" s="153">
        <f t="shared" si="63"/>
        <v>0</v>
      </c>
      <c r="M123" s="118">
        <f t="shared" si="64"/>
        <v>2152.09</v>
      </c>
      <c r="N123" s="122"/>
      <c r="O123" s="48"/>
    </row>
    <row r="124" spans="1:15" ht="30" customHeight="1" x14ac:dyDescent="0.2">
      <c r="B124" s="202">
        <v>94</v>
      </c>
      <c r="C124" s="212"/>
      <c r="D124" s="203" t="s">
        <v>241</v>
      </c>
      <c r="E124" s="203" t="s">
        <v>124</v>
      </c>
      <c r="F124" s="63"/>
      <c r="G124" s="204">
        <v>15</v>
      </c>
      <c r="H124" s="215">
        <v>261.8</v>
      </c>
      <c r="I124" s="118">
        <f t="shared" si="60"/>
        <v>3927</v>
      </c>
      <c r="J124" s="153">
        <f t="shared" si="61"/>
        <v>0</v>
      </c>
      <c r="K124" s="118">
        <f t="shared" si="62"/>
        <v>270.79000000000002</v>
      </c>
      <c r="L124" s="118">
        <f t="shared" si="63"/>
        <v>270.79000000000002</v>
      </c>
      <c r="M124" s="118">
        <f t="shared" si="64"/>
        <v>3656.21</v>
      </c>
      <c r="N124" s="122"/>
      <c r="O124" s="48"/>
    </row>
    <row r="125" spans="1:15" ht="30" customHeight="1" x14ac:dyDescent="0.2">
      <c r="B125" s="202">
        <v>95</v>
      </c>
      <c r="C125" s="212" t="s">
        <v>361</v>
      </c>
      <c r="D125" s="203" t="s">
        <v>242</v>
      </c>
      <c r="E125" s="203" t="s">
        <v>69</v>
      </c>
      <c r="F125" s="74"/>
      <c r="G125" s="204">
        <v>15</v>
      </c>
      <c r="H125" s="215">
        <v>125.533</v>
      </c>
      <c r="I125" s="118">
        <f t="shared" si="60"/>
        <v>1883</v>
      </c>
      <c r="J125" s="118">
        <f t="shared" si="61"/>
        <v>84.7</v>
      </c>
      <c r="K125" s="153">
        <f t="shared" si="62"/>
        <v>0</v>
      </c>
      <c r="L125" s="153">
        <f t="shared" si="63"/>
        <v>0</v>
      </c>
      <c r="M125" s="118">
        <f t="shared" si="64"/>
        <v>1967.7</v>
      </c>
      <c r="N125" s="122"/>
      <c r="O125" s="48"/>
    </row>
    <row r="126" spans="1:15" ht="30" customHeight="1" x14ac:dyDescent="0.2">
      <c r="B126" s="202">
        <v>96</v>
      </c>
      <c r="C126" s="212" t="s">
        <v>361</v>
      </c>
      <c r="D126" s="203" t="s">
        <v>367</v>
      </c>
      <c r="E126" s="203" t="s">
        <v>365</v>
      </c>
      <c r="F126" s="74"/>
      <c r="G126" s="204">
        <v>15</v>
      </c>
      <c r="H126" s="215">
        <v>102.46639999999999</v>
      </c>
      <c r="I126" s="118">
        <f t="shared" si="60"/>
        <v>1537</v>
      </c>
      <c r="J126" s="118">
        <f t="shared" si="61"/>
        <v>118.76</v>
      </c>
      <c r="K126" s="153">
        <f t="shared" si="62"/>
        <v>0</v>
      </c>
      <c r="L126" s="153">
        <f t="shared" si="63"/>
        <v>0</v>
      </c>
      <c r="M126" s="118">
        <f t="shared" si="64"/>
        <v>1655.76</v>
      </c>
      <c r="N126" s="122"/>
      <c r="O126" s="48"/>
    </row>
    <row r="127" spans="1:15" ht="44.45" customHeight="1" x14ac:dyDescent="0.2">
      <c r="B127" s="202">
        <v>97</v>
      </c>
      <c r="C127" s="212" t="s">
        <v>361</v>
      </c>
      <c r="D127" s="203" t="s">
        <v>402</v>
      </c>
      <c r="E127" s="203" t="s">
        <v>403</v>
      </c>
      <c r="F127" s="74"/>
      <c r="G127" s="204">
        <v>15</v>
      </c>
      <c r="H127" s="215">
        <v>95.2</v>
      </c>
      <c r="I127" s="118">
        <f t="shared" ref="I127" si="65">ROUND(G127*H127,2)</f>
        <v>1428</v>
      </c>
      <c r="J127" s="118">
        <f t="shared" ref="J127" si="66">IFERROR(IF(ROUND((((I127/G127*30.4)-VLOOKUP((I127/G127*30.4),TARIFA,1))*VLOOKUP((I127/G127*30.4),TARIFA,3)+VLOOKUP((I127/G127*30.4),TARIFA,2)-VLOOKUP((I127/G127*30.4),SUBSIDIO,2))/30.4*G127,2)&lt;0,ROUND(-(((I127/G127*30.4)-VLOOKUP((I127/G127*30.4),TARIFA,1))*VLOOKUP((I127/G127*30.4),TARIFA,3)+VLOOKUP((I127/G127*30.4),TARIFA,2)-VLOOKUP((I127/G127*30.4),SUBSIDIO,2))/30.4*G127,2),0),0)</f>
        <v>125.74</v>
      </c>
      <c r="K127" s="153">
        <f t="shared" si="62"/>
        <v>0</v>
      </c>
      <c r="L127" s="153">
        <f t="shared" ref="L127" si="67">K127</f>
        <v>0</v>
      </c>
      <c r="M127" s="118">
        <f t="shared" ref="M127" si="68">I127+J127-L127</f>
        <v>1553.74</v>
      </c>
      <c r="N127" s="122"/>
      <c r="O127" s="48"/>
    </row>
    <row r="128" spans="1:15" ht="30" customHeight="1" x14ac:dyDescent="0.2">
      <c r="B128" s="202"/>
      <c r="C128" s="212"/>
      <c r="D128" s="203"/>
      <c r="E128" s="214" t="s">
        <v>33</v>
      </c>
      <c r="F128" s="413"/>
      <c r="G128" s="414"/>
      <c r="H128" s="415"/>
      <c r="I128" s="119">
        <f>SUM(I122:I127)</f>
        <v>13649</v>
      </c>
      <c r="J128" s="119">
        <f t="shared" ref="J128:M128" si="69">SUM(J122:J127)</f>
        <v>401.29</v>
      </c>
      <c r="K128" s="119">
        <f t="shared" si="69"/>
        <v>270.79000000000002</v>
      </c>
      <c r="L128" s="119">
        <f t="shared" si="69"/>
        <v>270.79000000000002</v>
      </c>
      <c r="M128" s="119">
        <f t="shared" si="69"/>
        <v>13779.5</v>
      </c>
      <c r="N128" s="123">
        <f>SUM(N122:N125)</f>
        <v>0</v>
      </c>
      <c r="O128" s="48"/>
    </row>
    <row r="129" spans="1:15" ht="30" customHeight="1" x14ac:dyDescent="0.2">
      <c r="B129" s="416" t="s">
        <v>57</v>
      </c>
      <c r="C129" s="417"/>
      <c r="D129" s="418"/>
      <c r="E129" s="418"/>
      <c r="F129" s="418"/>
      <c r="G129" s="418"/>
      <c r="H129" s="418"/>
      <c r="I129" s="418"/>
      <c r="J129" s="418"/>
      <c r="K129" s="418"/>
      <c r="L129" s="418"/>
      <c r="M129" s="418"/>
      <c r="N129" s="419"/>
      <c r="O129" s="48"/>
    </row>
    <row r="130" spans="1:15" s="4" customFormat="1" ht="30" customHeight="1" x14ac:dyDescent="0.2">
      <c r="B130" s="221">
        <v>98</v>
      </c>
      <c r="C130" s="222"/>
      <c r="D130" s="203" t="s">
        <v>243</v>
      </c>
      <c r="E130" s="219" t="s">
        <v>68</v>
      </c>
      <c r="F130" s="63"/>
      <c r="G130" s="63">
        <v>15</v>
      </c>
      <c r="H130" s="223">
        <v>203.8664</v>
      </c>
      <c r="I130" s="118">
        <f t="shared" ref="I130:I133" si="70">ROUND(G130*H130,2)</f>
        <v>3058</v>
      </c>
      <c r="J130" s="153">
        <f>IFERROR(IF(ROUND((((I130/G130*30.4)-VLOOKUP((I130/G130*30.4),TARIFA,1))*VLOOKUP((I130/G130*30.4),TARIFA,3)+VLOOKUP((I130/G130*30.4),TARIFA,2)-VLOOKUP((I130/G130*30.4),SUBSIDIO,2))/30.4*G130,2)&lt;0,ROUND(-(((I130/G130*30.4)-VLOOKUP((I130/G130*30.4),TARIFA,1))*VLOOKUP((I130/G130*30.4),TARIFA,3)+VLOOKUP((I130/G130*30.4),TARIFA,2)-VLOOKUP((I130/G130*30.4),SUBSIDIO,2))/30.4*G130,2),0),0)</f>
        <v>0</v>
      </c>
      <c r="K130" s="153">
        <f>IF(H130&lt;=248.93,0,(IFERROR(IF(ROUND((((I130/G130*30.4)-VLOOKUP((I130/G130*30.4),TARIFA,1))*VLOOKUP((I130/G130*30.4),TARIFA,3)+VLOOKUP((I130/G130*30.4),TARIFA,2)-VLOOKUP((I130/G130*30.4),SUBSIDIO,2))/30.4*G130,2)&gt;0,ROUND((((I130/G130*30.4)-VLOOKUP((I130/G130*30.4),TARIFA,1))*VLOOKUP((I130/G130*30.4),TARIFA,3)+VLOOKUP((I130/G130*30.4),TARIFA,2)-VLOOKUP((I130/G130*30.4),SUBSIDIO,2))/30.4*G130,2),0),0)))</f>
        <v>0</v>
      </c>
      <c r="L130" s="153">
        <f>K130</f>
        <v>0</v>
      </c>
      <c r="M130" s="118">
        <f>I130+J130-L130</f>
        <v>3058</v>
      </c>
      <c r="N130" s="122"/>
      <c r="O130" s="48"/>
    </row>
    <row r="131" spans="1:15" s="4" customFormat="1" ht="30" customHeight="1" x14ac:dyDescent="0.2">
      <c r="B131" s="221">
        <v>99</v>
      </c>
      <c r="C131" s="222"/>
      <c r="D131" s="203" t="s">
        <v>244</v>
      </c>
      <c r="E131" s="219" t="s">
        <v>42</v>
      </c>
      <c r="F131" s="63"/>
      <c r="G131" s="63">
        <v>15</v>
      </c>
      <c r="H131" s="223">
        <v>46</v>
      </c>
      <c r="I131" s="118">
        <f t="shared" si="70"/>
        <v>690</v>
      </c>
      <c r="J131" s="118">
        <f>IFERROR(IF(ROUND((((I131/G131*30.4)-VLOOKUP((I131/G131*30.4),TARIFA,1))*VLOOKUP((I131/G131*30.4),TARIFA,3)+VLOOKUP((I131/G131*30.4),TARIFA,2)-VLOOKUP((I131/G131*30.4),SUBSIDIO,2))/30.4*G131,2)&lt;0,ROUND(-(((I131/G131*30.4)-VLOOKUP((I131/G131*30.4),TARIFA,1))*VLOOKUP((I131/G131*30.4),TARIFA,3)+VLOOKUP((I131/G131*30.4),TARIFA,2)-VLOOKUP((I131/G131*30.4),SUBSIDIO,2))/30.4*G131,2),0),0)</f>
        <v>173.17</v>
      </c>
      <c r="K131" s="153">
        <f>IF(H131&lt;=248.93,0,(IFERROR(IF(ROUND((((I131/G131*30.4)-VLOOKUP((I131/G131*30.4),TARIFA,1))*VLOOKUP((I131/G131*30.4),TARIFA,3)+VLOOKUP((I131/G131*30.4),TARIFA,2)-VLOOKUP((I131/G131*30.4),SUBSIDIO,2))/30.4*G131,2)&gt;0,ROUND((((I131/G131*30.4)-VLOOKUP((I131/G131*30.4),TARIFA,1))*VLOOKUP((I131/G131*30.4),TARIFA,3)+VLOOKUP((I131/G131*30.4),TARIFA,2)-VLOOKUP((I131/G131*30.4),SUBSIDIO,2))/30.4*G131,2),0),0)))</f>
        <v>0</v>
      </c>
      <c r="L131" s="153">
        <f>K131</f>
        <v>0</v>
      </c>
      <c r="M131" s="118">
        <f>I131+J131-L131</f>
        <v>863.17</v>
      </c>
      <c r="N131" s="122"/>
      <c r="O131" s="48"/>
    </row>
    <row r="132" spans="1:15" s="5" customFormat="1" ht="30" customHeight="1" x14ac:dyDescent="0.2">
      <c r="B132" s="202">
        <v>100</v>
      </c>
      <c r="C132" s="212" t="s">
        <v>361</v>
      </c>
      <c r="D132" s="219" t="s">
        <v>245</v>
      </c>
      <c r="E132" s="203" t="s">
        <v>95</v>
      </c>
      <c r="F132" s="74"/>
      <c r="G132" s="204">
        <v>15</v>
      </c>
      <c r="H132" s="196">
        <v>277.33300000000003</v>
      </c>
      <c r="I132" s="118">
        <f t="shared" si="70"/>
        <v>4160</v>
      </c>
      <c r="J132" s="153">
        <f>IFERROR(IF(ROUND((((I132/G132*30.4)-VLOOKUP((I132/G132*30.4),TARIFA,1))*VLOOKUP((I132/G132*30.4),TARIFA,3)+VLOOKUP((I132/G132*30.4),TARIFA,2)-VLOOKUP((I132/G132*30.4),SUBSIDIO,2))/30.4*G132,2)&lt;0,ROUND(-(((I132/G132*30.4)-VLOOKUP((I132/G132*30.4),TARIFA,1))*VLOOKUP((I132/G132*30.4),TARIFA,3)+VLOOKUP((I132/G132*30.4),TARIFA,2)-VLOOKUP((I132/G132*30.4),SUBSIDIO,2))/30.4*G132,2),0),0)</f>
        <v>0</v>
      </c>
      <c r="K132" s="118">
        <f>IF(H132&lt;=248.93,0,(IFERROR(IF(ROUND((((I132/G132*30.4)-VLOOKUP((I132/G132*30.4),TARIFA,1))*VLOOKUP((I132/G132*30.4),TARIFA,3)+VLOOKUP((I132/G132*30.4),TARIFA,2)-VLOOKUP((I132/G132*30.4),SUBSIDIO,2))/30.4*G132,2)&gt;0,ROUND((((I132/G132*30.4)-VLOOKUP((I132/G132*30.4),TARIFA,1))*VLOOKUP((I132/G132*30.4),TARIFA,3)+VLOOKUP((I132/G132*30.4),TARIFA,2)-VLOOKUP((I132/G132*30.4),SUBSIDIO,2))/30.4*G132,2),0),0)))</f>
        <v>296.14999999999998</v>
      </c>
      <c r="L132" s="118">
        <f>K132</f>
        <v>296.14999999999998</v>
      </c>
      <c r="M132" s="118">
        <f>I132+J132-L132</f>
        <v>3863.85</v>
      </c>
      <c r="N132" s="122"/>
      <c r="O132" s="48"/>
    </row>
    <row r="133" spans="1:15" s="5" customFormat="1" ht="30" customHeight="1" x14ac:dyDescent="0.2">
      <c r="B133" s="202">
        <v>101</v>
      </c>
      <c r="C133" s="212" t="s">
        <v>361</v>
      </c>
      <c r="D133" s="219" t="s">
        <v>165</v>
      </c>
      <c r="E133" s="203" t="s">
        <v>54</v>
      </c>
      <c r="F133" s="75"/>
      <c r="G133" s="204">
        <v>15</v>
      </c>
      <c r="H133" s="220">
        <v>95.266400000000004</v>
      </c>
      <c r="I133" s="118">
        <f t="shared" si="70"/>
        <v>1429</v>
      </c>
      <c r="J133" s="118">
        <f>IFERROR(IF(ROUND((((I133/G133*30.4)-VLOOKUP((I133/G133*30.4),TARIFA,1))*VLOOKUP((I133/G133*30.4),TARIFA,3)+VLOOKUP((I133/G133*30.4),TARIFA,2)-VLOOKUP((I133/G133*30.4),SUBSIDIO,2))/30.4*G133,2)&lt;0,ROUND(-(((I133/G133*30.4)-VLOOKUP((I133/G133*30.4),TARIFA,1))*VLOOKUP((I133/G133*30.4),TARIFA,3)+VLOOKUP((I133/G133*30.4),TARIFA,2)-VLOOKUP((I133/G133*30.4),SUBSIDIO,2))/30.4*G133,2),0),0)</f>
        <v>125.67</v>
      </c>
      <c r="K133" s="153">
        <f>IF(H133&lt;=248.93,0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0</v>
      </c>
      <c r="L133" s="153">
        <f>K133</f>
        <v>0</v>
      </c>
      <c r="M133" s="118">
        <f>I133+J133-L133</f>
        <v>1554.67</v>
      </c>
      <c r="N133" s="122"/>
      <c r="O133" s="48"/>
    </row>
    <row r="134" spans="1:15" ht="30" customHeight="1" x14ac:dyDescent="0.2">
      <c r="B134" s="202"/>
      <c r="C134" s="212"/>
      <c r="D134" s="203"/>
      <c r="E134" s="214" t="s">
        <v>33</v>
      </c>
      <c r="F134" s="413"/>
      <c r="G134" s="414"/>
      <c r="H134" s="415"/>
      <c r="I134" s="119">
        <f>SUM(I130:I133)</f>
        <v>9337</v>
      </c>
      <c r="J134" s="119">
        <f t="shared" ref="J134:N134" si="71">SUM(J130:J133)</f>
        <v>298.83999999999997</v>
      </c>
      <c r="K134" s="119">
        <f t="shared" si="71"/>
        <v>296.14999999999998</v>
      </c>
      <c r="L134" s="119">
        <f t="shared" si="71"/>
        <v>296.14999999999998</v>
      </c>
      <c r="M134" s="119">
        <f>SUM(M130:M133)</f>
        <v>9339.69</v>
      </c>
      <c r="N134" s="123">
        <f t="shared" si="71"/>
        <v>0</v>
      </c>
      <c r="O134" s="48"/>
    </row>
    <row r="135" spans="1:15" ht="30" customHeight="1" x14ac:dyDescent="0.2">
      <c r="B135" s="416" t="s">
        <v>73</v>
      </c>
      <c r="C135" s="417"/>
      <c r="D135" s="418"/>
      <c r="E135" s="418"/>
      <c r="F135" s="418"/>
      <c r="G135" s="418"/>
      <c r="H135" s="418"/>
      <c r="I135" s="418"/>
      <c r="J135" s="418"/>
      <c r="K135" s="418"/>
      <c r="L135" s="418"/>
      <c r="M135" s="418"/>
      <c r="N135" s="419"/>
      <c r="O135" s="48"/>
    </row>
    <row r="136" spans="1:15" ht="30" customHeight="1" x14ac:dyDescent="0.2">
      <c r="B136" s="202">
        <v>102</v>
      </c>
      <c r="C136" s="212"/>
      <c r="D136" s="203" t="s">
        <v>246</v>
      </c>
      <c r="E136" s="203" t="s">
        <v>60</v>
      </c>
      <c r="F136" s="74"/>
      <c r="G136" s="204">
        <v>15</v>
      </c>
      <c r="H136" s="196">
        <v>270.39999999999998</v>
      </c>
      <c r="I136" s="118">
        <f>ROUND(G136*H136,2)</f>
        <v>4056</v>
      </c>
      <c r="J136" s="153">
        <f>IFERROR(IF(ROUND((((I136/G136*30.4)-VLOOKUP((I136/G136*30.4),TARIFA,1))*VLOOKUP((I136/G136*30.4),TARIFA,3)+VLOOKUP((I136/G136*30.4),TARIFA,2)-VLOOKUP((I136/G136*30.4),SUBSIDIO,2))/30.4*G136,2)&lt;0,ROUND(-(((I136/G136*30.4)-VLOOKUP((I136/G136*30.4),TARIFA,1))*VLOOKUP((I136/G136*30.4),TARIFA,3)+VLOOKUP((I136/G136*30.4),TARIFA,2)-VLOOKUP((I136/G136*30.4),SUBSIDIO,2))/30.4*G136,2),0),0)</f>
        <v>0</v>
      </c>
      <c r="K136" s="118">
        <f>IF(H136&lt;=248.93,0,(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))</f>
        <v>284.83</v>
      </c>
      <c r="L136" s="118">
        <f>K136</f>
        <v>284.83</v>
      </c>
      <c r="M136" s="118">
        <f>I136+J136-L136</f>
        <v>3771.17</v>
      </c>
      <c r="N136" s="122"/>
      <c r="O136" s="48"/>
    </row>
    <row r="137" spans="1:15" ht="30" customHeight="1" x14ac:dyDescent="0.2">
      <c r="B137" s="202"/>
      <c r="C137" s="212"/>
      <c r="D137" s="203"/>
      <c r="E137" s="214" t="s">
        <v>33</v>
      </c>
      <c r="F137" s="224"/>
      <c r="G137" s="413"/>
      <c r="H137" s="415"/>
      <c r="I137" s="119">
        <f t="shared" ref="I137:N137" si="72">SUM(I136:I136)</f>
        <v>4056</v>
      </c>
      <c r="J137" s="154">
        <f t="shared" si="72"/>
        <v>0</v>
      </c>
      <c r="K137" s="119">
        <f t="shared" si="72"/>
        <v>284.83</v>
      </c>
      <c r="L137" s="119">
        <f t="shared" si="72"/>
        <v>284.83</v>
      </c>
      <c r="M137" s="119">
        <f t="shared" si="72"/>
        <v>3771.17</v>
      </c>
      <c r="N137" s="123">
        <f t="shared" si="72"/>
        <v>0</v>
      </c>
      <c r="O137" s="48"/>
    </row>
    <row r="138" spans="1:15" ht="30" customHeight="1" x14ac:dyDescent="0.2">
      <c r="B138" s="423" t="s">
        <v>107</v>
      </c>
      <c r="C138" s="424"/>
      <c r="D138" s="425"/>
      <c r="E138" s="425"/>
      <c r="F138" s="425"/>
      <c r="G138" s="425"/>
      <c r="H138" s="425"/>
      <c r="I138" s="425"/>
      <c r="J138" s="425"/>
      <c r="K138" s="425"/>
      <c r="L138" s="425"/>
      <c r="M138" s="425"/>
      <c r="N138" s="426"/>
      <c r="O138" s="48"/>
    </row>
    <row r="139" spans="1:15" s="5" customFormat="1" ht="30" customHeight="1" x14ac:dyDescent="0.2">
      <c r="B139" s="202">
        <v>103</v>
      </c>
      <c r="C139" s="212"/>
      <c r="D139" s="203" t="s">
        <v>247</v>
      </c>
      <c r="E139" s="203" t="s">
        <v>42</v>
      </c>
      <c r="F139" s="74"/>
      <c r="G139" s="204">
        <v>15</v>
      </c>
      <c r="H139" s="215">
        <v>277.33300000000003</v>
      </c>
      <c r="I139" s="118">
        <f>ROUND(G139*H139,2)</f>
        <v>4160</v>
      </c>
      <c r="J139" s="153">
        <f>IFERROR(IF(ROUND((((I139/G139*30.4)-VLOOKUP((I139/G139*30.4),TARIFA,1))*VLOOKUP((I139/G139*30.4),TARIFA,3)+VLOOKUP((I139/G139*30.4),TARIFA,2)-VLOOKUP((I139/G139*30.4),SUBSIDIO,2))/30.4*G139,2)&lt;0,ROUND(-(((I139/G139*30.4)-VLOOKUP((I139/G139*30.4),TARIFA,1))*VLOOKUP((I139/G139*30.4),TARIFA,3)+VLOOKUP((I139/G139*30.4),TARIFA,2)-VLOOKUP((I139/G139*30.4),SUBSIDIO,2))/30.4*G139,2),0),0)</f>
        <v>0</v>
      </c>
      <c r="K139" s="118">
        <f>IF(H139&lt;=248.93,0,(IFERROR(IF(ROUND((((I139/G139*30.4)-VLOOKUP((I139/G139*30.4),TARIFA,1))*VLOOKUP((I139/G139*30.4),TARIFA,3)+VLOOKUP((I139/G139*30.4),TARIFA,2)-VLOOKUP((I139/G139*30.4),SUBSIDIO,2))/30.4*G139,2)&gt;0,ROUND((((I139/G139*30.4)-VLOOKUP((I139/G139*30.4),TARIFA,1))*VLOOKUP((I139/G139*30.4),TARIFA,3)+VLOOKUP((I139/G139*30.4),TARIFA,2)-VLOOKUP((I139/G139*30.4),SUBSIDIO,2))/30.4*G139,2),0),0)))</f>
        <v>296.14999999999998</v>
      </c>
      <c r="L139" s="118">
        <f>K139</f>
        <v>296.14999999999998</v>
      </c>
      <c r="M139" s="118">
        <f>I139+J139-L139</f>
        <v>3863.85</v>
      </c>
      <c r="N139" s="122"/>
      <c r="O139" s="48"/>
    </row>
    <row r="140" spans="1:15" ht="30" customHeight="1" x14ac:dyDescent="0.2">
      <c r="B140" s="202"/>
      <c r="C140" s="212"/>
      <c r="D140" s="203"/>
      <c r="E140" s="214" t="s">
        <v>33</v>
      </c>
      <c r="F140" s="224"/>
      <c r="G140" s="413"/>
      <c r="H140" s="415"/>
      <c r="I140" s="119">
        <f t="shared" ref="I140:N140" si="73">SUM(I139:I139)</f>
        <v>4160</v>
      </c>
      <c r="J140" s="154">
        <f t="shared" si="73"/>
        <v>0</v>
      </c>
      <c r="K140" s="119">
        <f t="shared" si="73"/>
        <v>296.14999999999998</v>
      </c>
      <c r="L140" s="119">
        <f t="shared" si="73"/>
        <v>296.14999999999998</v>
      </c>
      <c r="M140" s="119">
        <f t="shared" si="73"/>
        <v>3863.85</v>
      </c>
      <c r="N140" s="123">
        <f t="shared" si="73"/>
        <v>0</v>
      </c>
      <c r="O140" s="48"/>
    </row>
    <row r="141" spans="1:15" ht="30" customHeight="1" x14ac:dyDescent="0.2">
      <c r="B141" s="227"/>
      <c r="C141" s="225"/>
      <c r="D141" s="228"/>
      <c r="E141" s="229"/>
      <c r="F141" s="225"/>
      <c r="G141" s="225"/>
      <c r="H141" s="225"/>
      <c r="I141" s="225"/>
      <c r="J141" s="225"/>
      <c r="K141" s="225"/>
      <c r="L141" s="225"/>
      <c r="M141" s="225"/>
      <c r="N141" s="226"/>
      <c r="O141" s="48"/>
    </row>
    <row r="142" spans="1:15" s="83" customFormat="1" ht="30" customHeight="1" x14ac:dyDescent="0.2">
      <c r="A142" s="40"/>
      <c r="B142" s="422" t="s">
        <v>134</v>
      </c>
      <c r="C142" s="414"/>
      <c r="D142" s="414"/>
      <c r="E142" s="414"/>
      <c r="F142" s="414"/>
      <c r="G142" s="414"/>
      <c r="H142" s="415"/>
      <c r="I142" s="230">
        <f>I18+I21+I27+I34+I41+I58+I64+I76+I80+I88+I104+I120+I128+I134+I137+I140</f>
        <v>275443.51</v>
      </c>
      <c r="J142" s="230">
        <f>J18+J21+J27+J34+J41+J58+J64+J76+J80+J88+J104+J120+J128+J134+J137+J140</f>
        <v>5698.5</v>
      </c>
      <c r="K142" s="230">
        <f>K18+K21+K27+K34+K41+K58+K64+K76+K80+K88+K104+K120+K128+K134+K137+K140</f>
        <v>8725.08</v>
      </c>
      <c r="L142" s="230">
        <f>L18+L21+L27+L34+L41+L58+L64+L76+L80+L88+L104+L120+L128+L134+L137+L140</f>
        <v>8725.08</v>
      </c>
      <c r="M142" s="230">
        <f>M18+M21+M27+M34+M41+M58+M64+M76+M80+M88+M104+M120+M128+M134+M137+M140</f>
        <v>272416.92999999993</v>
      </c>
      <c r="N142" s="230"/>
      <c r="O142" s="56"/>
    </row>
    <row r="143" spans="1:15" s="83" customFormat="1" ht="30" customHeight="1" x14ac:dyDescent="0.2">
      <c r="B143" s="231"/>
      <c r="C143" s="4"/>
      <c r="D143" s="232"/>
      <c r="E143" s="233"/>
      <c r="F143" s="234"/>
      <c r="G143" s="234"/>
      <c r="H143" s="234"/>
      <c r="I143" s="87"/>
      <c r="J143" s="87"/>
      <c r="K143" s="87"/>
      <c r="L143" s="87"/>
      <c r="M143" s="87"/>
      <c r="N143" s="125"/>
      <c r="O143" s="56"/>
    </row>
    <row r="144" spans="1:15" ht="30" customHeight="1" x14ac:dyDescent="0.2">
      <c r="B144" s="231"/>
      <c r="D144" s="232"/>
      <c r="E144" s="233"/>
      <c r="F144" s="234"/>
      <c r="G144" s="234"/>
      <c r="H144" s="234"/>
      <c r="I144" s="87"/>
      <c r="J144" s="87"/>
      <c r="K144" s="87"/>
      <c r="L144" s="87"/>
      <c r="M144" s="87"/>
      <c r="N144" s="125"/>
      <c r="O144" s="48"/>
    </row>
    <row r="145" spans="2:15" ht="31.5" customHeight="1" x14ac:dyDescent="0.2">
      <c r="B145" s="231"/>
      <c r="D145" s="232"/>
      <c r="E145" s="233"/>
      <c r="F145" s="234"/>
      <c r="G145" s="234"/>
      <c r="H145" s="234"/>
      <c r="I145" s="87"/>
      <c r="J145" s="87"/>
      <c r="K145" s="87"/>
      <c r="L145" s="87"/>
      <c r="M145" s="87"/>
      <c r="N145" s="125"/>
      <c r="O145" s="48"/>
    </row>
    <row r="146" spans="2:15" ht="31.5" customHeight="1" x14ac:dyDescent="0.2">
      <c r="B146" s="231"/>
      <c r="D146" s="232"/>
      <c r="E146" s="233"/>
      <c r="F146" s="234"/>
      <c r="G146" s="234"/>
      <c r="H146" s="234"/>
      <c r="I146" s="87"/>
      <c r="J146" s="87"/>
      <c r="K146" s="87"/>
      <c r="L146" s="87"/>
      <c r="M146" s="87"/>
      <c r="N146" s="125"/>
      <c r="O146" s="49"/>
    </row>
    <row r="147" spans="2:15" ht="21.75" customHeight="1" x14ac:dyDescent="0.2">
      <c r="B147" s="235"/>
      <c r="C147" s="61"/>
      <c r="N147" s="126"/>
      <c r="O147" s="48"/>
    </row>
    <row r="148" spans="2:15" ht="21.75" customHeight="1" x14ac:dyDescent="0.2">
      <c r="B148" s="236" t="s">
        <v>472</v>
      </c>
      <c r="C148" s="237"/>
      <c r="D148" s="421" t="s">
        <v>481</v>
      </c>
      <c r="E148" s="421"/>
      <c r="F148" s="421"/>
      <c r="K148" s="237" t="s">
        <v>303</v>
      </c>
      <c r="L148" s="237"/>
      <c r="N148" s="126"/>
      <c r="O148" s="48"/>
    </row>
    <row r="149" spans="2:15" ht="21.75" customHeight="1" x14ac:dyDescent="0.2">
      <c r="B149" s="238"/>
      <c r="C149" s="120"/>
      <c r="D149" s="421" t="s">
        <v>302</v>
      </c>
      <c r="E149" s="421"/>
      <c r="F149" s="421"/>
      <c r="K149" s="421" t="s">
        <v>302</v>
      </c>
      <c r="L149" s="421"/>
      <c r="M149" s="421"/>
      <c r="N149" s="126"/>
      <c r="O149" s="48"/>
    </row>
    <row r="150" spans="2:15" ht="21.75" customHeight="1" thickBot="1" x14ac:dyDescent="0.25">
      <c r="B150" s="239"/>
      <c r="C150" s="240"/>
      <c r="D150" s="241"/>
      <c r="E150" s="242"/>
      <c r="F150" s="127"/>
      <c r="G150" s="127"/>
      <c r="H150" s="127"/>
      <c r="I150" s="127"/>
      <c r="J150" s="127"/>
      <c r="K150" s="127"/>
      <c r="L150" s="127"/>
      <c r="M150" s="127"/>
      <c r="N150" s="243"/>
      <c r="O150" s="48"/>
    </row>
    <row r="151" spans="2:15" ht="21.75" customHeight="1" x14ac:dyDescent="0.2">
      <c r="B151" s="88"/>
      <c r="C151" s="88"/>
      <c r="O151" s="31"/>
    </row>
    <row r="152" spans="2:15" ht="18" customHeight="1" x14ac:dyDescent="0.2">
      <c r="B152" s="120"/>
      <c r="C152" s="120"/>
    </row>
    <row r="153" spans="2:15" x14ac:dyDescent="0.2">
      <c r="B153" s="120"/>
      <c r="C153" s="120"/>
      <c r="K153" s="25" t="s">
        <v>91</v>
      </c>
      <c r="L153" s="147">
        <f>M8+M9+M11+M12+M13+M14+M15+M17+M26+M31+M33+M37+M40+M43+M44+M46+M47+M48+M49+M51+M53+M54+M55+M56+M57+M60+M61+M62+M63+M66+M67+M68+M69+M72+M73+M74+M75+M79+M83+M84+M85+M87+M92+M97+M99+M102+M103+M107+M110+M111+M112+M114+M116+M117+M119+M122+M123+M125+M126+M127+M132+M133</f>
        <v>160964.51000000004</v>
      </c>
    </row>
    <row r="154" spans="2:15" x14ac:dyDescent="0.2">
      <c r="B154" s="120"/>
      <c r="C154" s="120"/>
      <c r="K154" s="25" t="s">
        <v>92</v>
      </c>
      <c r="L154" s="147">
        <f>M10+M16+M20+M23+M24+M25+M29+M30+M32+M36+M38+M39+M45+M50+M52+M71+M70+M78+M82+M86+M90+M91+M93+M94+M95+M96+M98+M100+M101+M106+M108+M109+M113+M115+M118+M124+M130+M131+M136+M139</f>
        <v>111452.42000000003</v>
      </c>
    </row>
    <row r="155" spans="2:15" x14ac:dyDescent="0.2">
      <c r="B155" s="120"/>
      <c r="C155" s="120"/>
      <c r="L155" s="147">
        <f>SUM(L153:L154)</f>
        <v>272416.93000000005</v>
      </c>
    </row>
    <row r="156" spans="2:15" x14ac:dyDescent="0.2">
      <c r="B156" s="120"/>
      <c r="C156" s="120"/>
    </row>
    <row r="157" spans="2:15" x14ac:dyDescent="0.2">
      <c r="B157" s="120"/>
      <c r="C157" s="120"/>
      <c r="K157" s="25" t="s">
        <v>311</v>
      </c>
      <c r="L157" s="148">
        <f>L155-M142</f>
        <v>0</v>
      </c>
    </row>
    <row r="158" spans="2:15" x14ac:dyDescent="0.2">
      <c r="B158" s="120"/>
      <c r="C158" s="120"/>
    </row>
  </sheetData>
  <mergeCells count="39">
    <mergeCell ref="D148:F148"/>
    <mergeCell ref="B89:N89"/>
    <mergeCell ref="B138:N138"/>
    <mergeCell ref="B135:N135"/>
    <mergeCell ref="G137:H137"/>
    <mergeCell ref="B105:N105"/>
    <mergeCell ref="F104:H104"/>
    <mergeCell ref="F120:H120"/>
    <mergeCell ref="F128:H128"/>
    <mergeCell ref="F134:H134"/>
    <mergeCell ref="B121:N121"/>
    <mergeCell ref="B129:N129"/>
    <mergeCell ref="D149:F149"/>
    <mergeCell ref="K149:M149"/>
    <mergeCell ref="F21:H21"/>
    <mergeCell ref="B142:H142"/>
    <mergeCell ref="B59:N59"/>
    <mergeCell ref="F58:H58"/>
    <mergeCell ref="F27:H27"/>
    <mergeCell ref="F34:H34"/>
    <mergeCell ref="G140:H140"/>
    <mergeCell ref="F64:H64"/>
    <mergeCell ref="F76:H76"/>
    <mergeCell ref="F80:H80"/>
    <mergeCell ref="B28:N28"/>
    <mergeCell ref="F41:H41"/>
    <mergeCell ref="B35:N35"/>
    <mergeCell ref="B77:N77"/>
    <mergeCell ref="F88:H88"/>
    <mergeCell ref="B65:N65"/>
    <mergeCell ref="E2:K2"/>
    <mergeCell ref="E5:K5"/>
    <mergeCell ref="L5:N5"/>
    <mergeCell ref="D6:J6"/>
    <mergeCell ref="F18:H18"/>
    <mergeCell ref="B19:N19"/>
    <mergeCell ref="B22:N22"/>
    <mergeCell ref="B81:N81"/>
    <mergeCell ref="B42:N42"/>
  </mergeCells>
  <pageMargins left="0.7" right="0.7" top="0.75" bottom="0.75" header="0.3" footer="0.3"/>
  <pageSetup scale="6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2"/>
  <sheetViews>
    <sheetView showGridLines="0" topLeftCell="B1" zoomScale="70" zoomScaleNormal="70" workbookViewId="0">
      <selection activeCell="F16" sqref="F16:F22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185" customWidth="1"/>
    <col min="37" max="37" width="56.42578125" style="5" customWidth="1"/>
    <col min="38" max="38" width="12.28515625" style="174" bestFit="1" customWidth="1"/>
    <col min="39" max="39" width="15.140625" style="172" customWidth="1"/>
    <col min="40" max="16384" width="11.42578125" style="5"/>
  </cols>
  <sheetData>
    <row r="3" spans="1:41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0"/>
      <c r="AK3" s="39"/>
      <c r="AL3" s="171"/>
    </row>
    <row r="4" spans="1:41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0"/>
      <c r="AK4" s="39"/>
      <c r="AL4" s="171"/>
    </row>
    <row r="5" spans="1:41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0"/>
      <c r="AK5" s="39"/>
      <c r="AL5" s="171"/>
    </row>
    <row r="6" spans="1:41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0"/>
      <c r="AK6" s="39"/>
      <c r="AL6" s="171"/>
    </row>
    <row r="7" spans="1:41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0"/>
      <c r="AK7" s="39"/>
      <c r="AL7" s="171"/>
    </row>
    <row r="8" spans="1:41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0"/>
      <c r="AK8" s="39"/>
      <c r="AL8" s="171"/>
    </row>
    <row r="9" spans="1:41" ht="30" customHeight="1" x14ac:dyDescent="0.2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0"/>
      <c r="AK9" s="39"/>
      <c r="AL9" s="171"/>
      <c r="AN9" s="79"/>
      <c r="AO9" s="5" t="s">
        <v>323</v>
      </c>
    </row>
    <row r="10" spans="1:41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0"/>
      <c r="AK10" s="39"/>
      <c r="AL10" s="171"/>
      <c r="AN10" s="173"/>
      <c r="AO10" s="5" t="s">
        <v>324</v>
      </c>
    </row>
    <row r="11" spans="1:41" s="29" customFormat="1" ht="15" x14ac:dyDescent="0.2">
      <c r="A11" s="5"/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3"/>
      <c r="AH11" s="433"/>
      <c r="AI11" s="433"/>
      <c r="AJ11" s="433"/>
      <c r="AK11" s="39"/>
      <c r="AL11" s="171"/>
      <c r="AM11" s="174"/>
    </row>
    <row r="12" spans="1:41" s="29" customFormat="1" ht="15" x14ac:dyDescent="0.2">
      <c r="A12" s="5"/>
      <c r="B12" s="434" t="s">
        <v>490</v>
      </c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39"/>
      <c r="AL12" s="171"/>
      <c r="AM12" s="174"/>
    </row>
    <row r="13" spans="1:41" s="29" customFormat="1" ht="28.5" customHeight="1" x14ac:dyDescent="0.2">
      <c r="A13" s="5"/>
      <c r="B13" s="38"/>
      <c r="C13" s="38"/>
      <c r="D13" s="69"/>
      <c r="E13" s="38"/>
      <c r="F13" s="38"/>
      <c r="G13" s="37" t="s">
        <v>139</v>
      </c>
      <c r="H13" s="37" t="s">
        <v>1</v>
      </c>
      <c r="I13" s="402" t="s">
        <v>0</v>
      </c>
      <c r="J13" s="402"/>
      <c r="K13" s="402"/>
      <c r="L13" s="402"/>
      <c r="M13" s="402"/>
      <c r="N13" s="402"/>
      <c r="O13" s="402"/>
      <c r="P13" s="402"/>
      <c r="Q13" s="37"/>
      <c r="R13" s="37" t="s">
        <v>325</v>
      </c>
      <c r="S13" s="37"/>
      <c r="T13" s="435" t="s">
        <v>326</v>
      </c>
      <c r="U13" s="435"/>
      <c r="V13" s="435"/>
      <c r="W13" s="435"/>
      <c r="X13" s="435"/>
      <c r="Y13" s="435"/>
      <c r="Z13" s="37" t="s">
        <v>327</v>
      </c>
      <c r="AA13" s="37" t="s">
        <v>3</v>
      </c>
      <c r="AB13" s="37"/>
      <c r="AC13" s="436" t="s">
        <v>328</v>
      </c>
      <c r="AD13" s="435" t="s">
        <v>329</v>
      </c>
      <c r="AE13" s="435"/>
      <c r="AF13" s="435"/>
      <c r="AG13" s="435"/>
      <c r="AH13" s="435"/>
      <c r="AI13" s="435"/>
      <c r="AJ13" s="437" t="s">
        <v>322</v>
      </c>
      <c r="AK13" s="38"/>
      <c r="AL13" s="171"/>
      <c r="AM13" s="174"/>
    </row>
    <row r="14" spans="1:41" s="29" customFormat="1" x14ac:dyDescent="0.2">
      <c r="A14" s="5"/>
      <c r="B14" s="37" t="s">
        <v>140</v>
      </c>
      <c r="C14" s="37" t="s">
        <v>361</v>
      </c>
      <c r="D14" s="76" t="s">
        <v>14</v>
      </c>
      <c r="E14" s="37" t="s">
        <v>27</v>
      </c>
      <c r="F14" s="37" t="s">
        <v>99</v>
      </c>
      <c r="G14" s="43" t="s">
        <v>15</v>
      </c>
      <c r="H14" s="37" t="s">
        <v>16</v>
      </c>
      <c r="I14" s="436" t="s">
        <v>93</v>
      </c>
      <c r="J14" s="37" t="s">
        <v>330</v>
      </c>
      <c r="K14" s="37" t="s">
        <v>330</v>
      </c>
      <c r="L14" s="37" t="s">
        <v>331</v>
      </c>
      <c r="M14" s="37" t="s">
        <v>325</v>
      </c>
      <c r="N14" s="37" t="s">
        <v>332</v>
      </c>
      <c r="O14" s="436" t="s">
        <v>333</v>
      </c>
      <c r="P14" s="436" t="s">
        <v>142</v>
      </c>
      <c r="Q14" s="37"/>
      <c r="R14" s="37" t="s">
        <v>334</v>
      </c>
      <c r="S14" s="37" t="s">
        <v>335</v>
      </c>
      <c r="T14" s="37" t="s">
        <v>5</v>
      </c>
      <c r="U14" s="37" t="s">
        <v>336</v>
      </c>
      <c r="V14" s="37" t="s">
        <v>337</v>
      </c>
      <c r="W14" s="37" t="s">
        <v>338</v>
      </c>
      <c r="X14" s="37" t="s">
        <v>7</v>
      </c>
      <c r="Y14" s="37" t="s">
        <v>3</v>
      </c>
      <c r="Z14" s="37" t="s">
        <v>339</v>
      </c>
      <c r="AA14" s="37" t="s">
        <v>340</v>
      </c>
      <c r="AB14" s="37"/>
      <c r="AC14" s="436"/>
      <c r="AD14" s="37" t="s">
        <v>341</v>
      </c>
      <c r="AE14" s="37" t="s">
        <v>342</v>
      </c>
      <c r="AF14" s="37" t="s">
        <v>327</v>
      </c>
      <c r="AG14" s="37" t="s">
        <v>343</v>
      </c>
      <c r="AH14" s="151" t="s">
        <v>344</v>
      </c>
      <c r="AI14" s="436" t="s">
        <v>345</v>
      </c>
      <c r="AJ14" s="437"/>
      <c r="AK14" s="38"/>
      <c r="AL14" s="171"/>
      <c r="AM14" s="174"/>
    </row>
    <row r="15" spans="1:41" s="29" customFormat="1" ht="16.5" customHeight="1" x14ac:dyDescent="0.2">
      <c r="A15" s="5"/>
      <c r="B15" s="37"/>
      <c r="C15" s="37"/>
      <c r="D15" s="76"/>
      <c r="E15" s="37"/>
      <c r="F15" s="37"/>
      <c r="G15" s="37"/>
      <c r="H15" s="37"/>
      <c r="I15" s="436"/>
      <c r="J15" s="37" t="s">
        <v>346</v>
      </c>
      <c r="K15" s="37" t="s">
        <v>347</v>
      </c>
      <c r="L15" s="37"/>
      <c r="M15" s="37" t="s">
        <v>334</v>
      </c>
      <c r="N15" s="37" t="s">
        <v>348</v>
      </c>
      <c r="O15" s="436"/>
      <c r="P15" s="436"/>
      <c r="Q15" s="37"/>
      <c r="R15" s="37" t="s">
        <v>349</v>
      </c>
      <c r="S15" s="37" t="s">
        <v>350</v>
      </c>
      <c r="T15" s="37" t="s">
        <v>6</v>
      </c>
      <c r="U15" s="37" t="s">
        <v>351</v>
      </c>
      <c r="V15" s="37" t="s">
        <v>351</v>
      </c>
      <c r="W15" s="37" t="s">
        <v>352</v>
      </c>
      <c r="X15" s="37" t="s">
        <v>8</v>
      </c>
      <c r="Y15" s="37" t="s">
        <v>353</v>
      </c>
      <c r="Z15" s="37" t="s">
        <v>12</v>
      </c>
      <c r="AA15" s="37" t="s">
        <v>354</v>
      </c>
      <c r="AB15" s="37"/>
      <c r="AC15" s="436"/>
      <c r="AD15" s="37"/>
      <c r="AE15" s="37"/>
      <c r="AF15" s="37" t="s">
        <v>355</v>
      </c>
      <c r="AG15" s="37" t="s">
        <v>356</v>
      </c>
      <c r="AH15" s="37"/>
      <c r="AI15" s="436"/>
      <c r="AJ15" s="437"/>
      <c r="AK15" s="37" t="s">
        <v>319</v>
      </c>
      <c r="AL15" s="171"/>
      <c r="AM15" s="174"/>
    </row>
    <row r="16" spans="1:41" s="29" customFormat="1" ht="43.5" customHeight="1" x14ac:dyDescent="0.2">
      <c r="A16" s="5"/>
      <c r="B16" s="38">
        <v>1</v>
      </c>
      <c r="C16" s="38" t="s">
        <v>361</v>
      </c>
      <c r="D16" s="244" t="s">
        <v>31</v>
      </c>
      <c r="E16" s="245" t="s">
        <v>30</v>
      </c>
      <c r="F16" s="245"/>
      <c r="G16" s="245">
        <v>15</v>
      </c>
      <c r="H16" s="246">
        <v>106.133</v>
      </c>
      <c r="I16" s="118">
        <f t="shared" ref="I16:I22" si="0">ROUND(G16*H16,2)</f>
        <v>1592</v>
      </c>
      <c r="J16" s="247">
        <v>0</v>
      </c>
      <c r="K16" s="247">
        <f t="shared" ref="K16:K22" si="1">J16</f>
        <v>0</v>
      </c>
      <c r="L16" s="247">
        <v>0</v>
      </c>
      <c r="M16" s="247">
        <v>0</v>
      </c>
      <c r="N16" s="247">
        <v>0</v>
      </c>
      <c r="O16" s="247">
        <v>0</v>
      </c>
      <c r="P16" s="168">
        <f t="shared" ref="P16:P22" si="2">SUM(I16:O16)</f>
        <v>1592</v>
      </c>
      <c r="Q16" s="248"/>
      <c r="R16" s="168">
        <f t="shared" ref="R16:R22" si="3">IF(H16=47.16,0,IF(H16&gt;47.16,M16*0.5,0))</f>
        <v>0</v>
      </c>
      <c r="S16" s="168">
        <f t="shared" ref="S16:S22" si="4">I16+J16+K16+N16+R16+L16</f>
        <v>1592</v>
      </c>
      <c r="T16" s="168">
        <v>318.01</v>
      </c>
      <c r="U16" s="168">
        <f t="shared" ref="U16:U22" si="5">S16-T16</f>
        <v>1273.99</v>
      </c>
      <c r="V16" s="249">
        <v>6.4000000000000001E-2</v>
      </c>
      <c r="W16" s="168">
        <f t="shared" ref="W16:W22" si="6">U16*V16</f>
        <v>81.535359999999997</v>
      </c>
      <c r="X16" s="168">
        <v>6.15</v>
      </c>
      <c r="Y16" s="168">
        <f t="shared" ref="Y16:Y22" si="7">W16+X16</f>
        <v>87.685360000000003</v>
      </c>
      <c r="Z16" s="168">
        <v>200.7</v>
      </c>
      <c r="AA16" s="168">
        <f t="shared" ref="AA16:AA22" si="8">Y16-Z16</f>
        <v>-113.01463999999999</v>
      </c>
      <c r="AB16" s="250"/>
      <c r="AC16" s="168">
        <v>0</v>
      </c>
      <c r="AD16" s="168">
        <f t="shared" ref="AD16:AD22" si="9">IF(AA16&lt;0,0,AA16)</f>
        <v>0</v>
      </c>
      <c r="AE16" s="168">
        <v>0</v>
      </c>
      <c r="AF16" s="247">
        <v>0</v>
      </c>
      <c r="AG16" s="247">
        <v>0</v>
      </c>
      <c r="AH16" s="251">
        <v>0</v>
      </c>
      <c r="AI16" s="168">
        <f t="shared" ref="AI16:AI22" si="10">SUM(AD16:AH16)</f>
        <v>0</v>
      </c>
      <c r="AJ16" s="252">
        <f t="shared" ref="AJ16:AJ22" si="11">P16+AC16-AI16</f>
        <v>1592</v>
      </c>
      <c r="AK16" s="168"/>
      <c r="AL16" s="50"/>
      <c r="AM16" s="175"/>
      <c r="AN16" s="176"/>
    </row>
    <row r="17" spans="1:40" s="29" customFormat="1" ht="43.5" customHeight="1" x14ac:dyDescent="0.2">
      <c r="A17" s="5"/>
      <c r="B17" s="38">
        <v>2</v>
      </c>
      <c r="C17" s="38" t="s">
        <v>361</v>
      </c>
      <c r="D17" s="244" t="s">
        <v>265</v>
      </c>
      <c r="E17" s="245" t="s">
        <v>30</v>
      </c>
      <c r="F17" s="245"/>
      <c r="G17" s="245">
        <v>15</v>
      </c>
      <c r="H17" s="246">
        <v>106.133</v>
      </c>
      <c r="I17" s="118">
        <f t="shared" si="0"/>
        <v>1592</v>
      </c>
      <c r="J17" s="247">
        <v>0</v>
      </c>
      <c r="K17" s="247">
        <f t="shared" si="1"/>
        <v>0</v>
      </c>
      <c r="L17" s="247">
        <v>0</v>
      </c>
      <c r="M17" s="247">
        <v>0</v>
      </c>
      <c r="N17" s="247">
        <v>0</v>
      </c>
      <c r="O17" s="247">
        <v>0</v>
      </c>
      <c r="P17" s="168">
        <f t="shared" si="2"/>
        <v>1592</v>
      </c>
      <c r="Q17" s="248"/>
      <c r="R17" s="168">
        <f t="shared" si="3"/>
        <v>0</v>
      </c>
      <c r="S17" s="168">
        <f t="shared" si="4"/>
        <v>1592</v>
      </c>
      <c r="T17" s="168">
        <v>318.01</v>
      </c>
      <c r="U17" s="168">
        <f t="shared" si="5"/>
        <v>1273.99</v>
      </c>
      <c r="V17" s="249">
        <v>6.4000000000000001E-2</v>
      </c>
      <c r="W17" s="168">
        <f t="shared" si="6"/>
        <v>81.535359999999997</v>
      </c>
      <c r="X17" s="168">
        <v>6.15</v>
      </c>
      <c r="Y17" s="168">
        <f t="shared" si="7"/>
        <v>87.685360000000003</v>
      </c>
      <c r="Z17" s="168">
        <v>200.7</v>
      </c>
      <c r="AA17" s="168">
        <f t="shared" si="8"/>
        <v>-113.01463999999999</v>
      </c>
      <c r="AB17" s="250"/>
      <c r="AC17" s="168">
        <v>0</v>
      </c>
      <c r="AD17" s="168">
        <f t="shared" si="9"/>
        <v>0</v>
      </c>
      <c r="AE17" s="168">
        <v>0</v>
      </c>
      <c r="AF17" s="247">
        <v>0</v>
      </c>
      <c r="AG17" s="247">
        <v>0</v>
      </c>
      <c r="AH17" s="251">
        <v>0</v>
      </c>
      <c r="AI17" s="168">
        <f t="shared" si="10"/>
        <v>0</v>
      </c>
      <c r="AJ17" s="252">
        <f t="shared" si="11"/>
        <v>1592</v>
      </c>
      <c r="AK17" s="168"/>
      <c r="AL17" s="50"/>
      <c r="AM17" s="175"/>
      <c r="AN17" s="176"/>
    </row>
    <row r="18" spans="1:40" s="29" customFormat="1" ht="43.5" customHeight="1" x14ac:dyDescent="0.2">
      <c r="A18" s="5"/>
      <c r="B18" s="38">
        <v>3</v>
      </c>
      <c r="C18" s="38" t="s">
        <v>361</v>
      </c>
      <c r="D18" s="244" t="s">
        <v>74</v>
      </c>
      <c r="E18" s="245" t="s">
        <v>30</v>
      </c>
      <c r="F18" s="245"/>
      <c r="G18" s="245">
        <v>15</v>
      </c>
      <c r="H18" s="246">
        <v>106.133</v>
      </c>
      <c r="I18" s="118">
        <f t="shared" si="0"/>
        <v>1592</v>
      </c>
      <c r="J18" s="247">
        <v>0</v>
      </c>
      <c r="K18" s="247">
        <f t="shared" si="1"/>
        <v>0</v>
      </c>
      <c r="L18" s="247">
        <v>0</v>
      </c>
      <c r="M18" s="247">
        <v>0</v>
      </c>
      <c r="N18" s="247">
        <v>0</v>
      </c>
      <c r="O18" s="247">
        <v>0</v>
      </c>
      <c r="P18" s="168">
        <f t="shared" si="2"/>
        <v>1592</v>
      </c>
      <c r="Q18" s="248"/>
      <c r="R18" s="168">
        <f t="shared" si="3"/>
        <v>0</v>
      </c>
      <c r="S18" s="168">
        <f t="shared" si="4"/>
        <v>1592</v>
      </c>
      <c r="T18" s="168">
        <v>318.01</v>
      </c>
      <c r="U18" s="168">
        <f t="shared" si="5"/>
        <v>1273.99</v>
      </c>
      <c r="V18" s="249">
        <v>6.4000000000000001E-2</v>
      </c>
      <c r="W18" s="168">
        <f t="shared" si="6"/>
        <v>81.535359999999997</v>
      </c>
      <c r="X18" s="168">
        <v>6.15</v>
      </c>
      <c r="Y18" s="168">
        <f t="shared" si="7"/>
        <v>87.685360000000003</v>
      </c>
      <c r="Z18" s="168">
        <v>200.7</v>
      </c>
      <c r="AA18" s="168">
        <f t="shared" si="8"/>
        <v>-113.01463999999999</v>
      </c>
      <c r="AB18" s="250"/>
      <c r="AC18" s="168">
        <v>0</v>
      </c>
      <c r="AD18" s="168">
        <f t="shared" si="9"/>
        <v>0</v>
      </c>
      <c r="AE18" s="168">
        <v>0</v>
      </c>
      <c r="AF18" s="247">
        <v>0</v>
      </c>
      <c r="AG18" s="247">
        <v>0</v>
      </c>
      <c r="AH18" s="251">
        <v>0</v>
      </c>
      <c r="AI18" s="168">
        <f t="shared" si="10"/>
        <v>0</v>
      </c>
      <c r="AJ18" s="252">
        <f t="shared" si="11"/>
        <v>1592</v>
      </c>
      <c r="AK18" s="168"/>
      <c r="AL18" s="171"/>
      <c r="AM18" s="174"/>
    </row>
    <row r="19" spans="1:40" s="29" customFormat="1" ht="43.5" customHeight="1" x14ac:dyDescent="0.2">
      <c r="A19" s="5"/>
      <c r="B19" s="38">
        <v>4</v>
      </c>
      <c r="C19" s="38" t="s">
        <v>361</v>
      </c>
      <c r="D19" s="244" t="s">
        <v>32</v>
      </c>
      <c r="E19" s="245" t="s">
        <v>30</v>
      </c>
      <c r="F19" s="245"/>
      <c r="G19" s="245">
        <v>15</v>
      </c>
      <c r="H19" s="246">
        <v>106.133</v>
      </c>
      <c r="I19" s="118">
        <f t="shared" si="0"/>
        <v>1592</v>
      </c>
      <c r="J19" s="247">
        <v>0</v>
      </c>
      <c r="K19" s="247">
        <f t="shared" si="1"/>
        <v>0</v>
      </c>
      <c r="L19" s="247">
        <v>0</v>
      </c>
      <c r="M19" s="247">
        <v>0</v>
      </c>
      <c r="N19" s="247">
        <v>0</v>
      </c>
      <c r="O19" s="247">
        <v>0</v>
      </c>
      <c r="P19" s="168">
        <f t="shared" si="2"/>
        <v>1592</v>
      </c>
      <c r="Q19" s="248"/>
      <c r="R19" s="168">
        <f t="shared" si="3"/>
        <v>0</v>
      </c>
      <c r="S19" s="168">
        <f t="shared" si="4"/>
        <v>1592</v>
      </c>
      <c r="T19" s="168">
        <v>318.01</v>
      </c>
      <c r="U19" s="168">
        <f t="shared" si="5"/>
        <v>1273.99</v>
      </c>
      <c r="V19" s="249">
        <v>6.4000000000000001E-2</v>
      </c>
      <c r="W19" s="168">
        <f t="shared" si="6"/>
        <v>81.535359999999997</v>
      </c>
      <c r="X19" s="168">
        <v>6.15</v>
      </c>
      <c r="Y19" s="168">
        <f t="shared" si="7"/>
        <v>87.685360000000003</v>
      </c>
      <c r="Z19" s="168">
        <v>200.7</v>
      </c>
      <c r="AA19" s="168">
        <f t="shared" si="8"/>
        <v>-113.01463999999999</v>
      </c>
      <c r="AB19" s="250"/>
      <c r="AC19" s="168">
        <v>0</v>
      </c>
      <c r="AD19" s="168">
        <f t="shared" si="9"/>
        <v>0</v>
      </c>
      <c r="AE19" s="168">
        <v>0</v>
      </c>
      <c r="AF19" s="247">
        <v>0</v>
      </c>
      <c r="AG19" s="247">
        <v>0</v>
      </c>
      <c r="AH19" s="251">
        <v>0</v>
      </c>
      <c r="AI19" s="168">
        <f t="shared" si="10"/>
        <v>0</v>
      </c>
      <c r="AJ19" s="252">
        <f t="shared" si="11"/>
        <v>1592</v>
      </c>
      <c r="AK19" s="168"/>
      <c r="AL19" s="171"/>
      <c r="AM19" s="174"/>
    </row>
    <row r="20" spans="1:40" s="29" customFormat="1" ht="43.5" customHeight="1" x14ac:dyDescent="0.2">
      <c r="A20" s="5"/>
      <c r="B20" s="38">
        <v>5</v>
      </c>
      <c r="C20" s="38" t="s">
        <v>361</v>
      </c>
      <c r="D20" s="244" t="s">
        <v>84</v>
      </c>
      <c r="E20" s="245" t="s">
        <v>30</v>
      </c>
      <c r="F20" s="245"/>
      <c r="G20" s="245">
        <v>15</v>
      </c>
      <c r="H20" s="246">
        <v>106.133</v>
      </c>
      <c r="I20" s="118">
        <f t="shared" si="0"/>
        <v>1592</v>
      </c>
      <c r="J20" s="247">
        <v>0</v>
      </c>
      <c r="K20" s="247">
        <f t="shared" si="1"/>
        <v>0</v>
      </c>
      <c r="L20" s="247">
        <v>0</v>
      </c>
      <c r="M20" s="247">
        <v>0</v>
      </c>
      <c r="N20" s="247">
        <v>0</v>
      </c>
      <c r="O20" s="247">
        <v>0</v>
      </c>
      <c r="P20" s="168">
        <f t="shared" si="2"/>
        <v>1592</v>
      </c>
      <c r="Q20" s="248"/>
      <c r="R20" s="168">
        <f t="shared" si="3"/>
        <v>0</v>
      </c>
      <c r="S20" s="168">
        <f t="shared" si="4"/>
        <v>1592</v>
      </c>
      <c r="T20" s="168">
        <v>318.01</v>
      </c>
      <c r="U20" s="168">
        <f t="shared" si="5"/>
        <v>1273.99</v>
      </c>
      <c r="V20" s="249">
        <v>6.4000000000000001E-2</v>
      </c>
      <c r="W20" s="168">
        <f t="shared" si="6"/>
        <v>81.535359999999997</v>
      </c>
      <c r="X20" s="168">
        <v>6.15</v>
      </c>
      <c r="Y20" s="168">
        <f t="shared" si="7"/>
        <v>87.685360000000003</v>
      </c>
      <c r="Z20" s="168">
        <v>200.7</v>
      </c>
      <c r="AA20" s="168">
        <f t="shared" si="8"/>
        <v>-113.01463999999999</v>
      </c>
      <c r="AB20" s="250"/>
      <c r="AC20" s="168">
        <v>0</v>
      </c>
      <c r="AD20" s="168">
        <f t="shared" si="9"/>
        <v>0</v>
      </c>
      <c r="AE20" s="168">
        <v>0</v>
      </c>
      <c r="AF20" s="247">
        <v>0</v>
      </c>
      <c r="AG20" s="247">
        <v>0</v>
      </c>
      <c r="AH20" s="251">
        <v>0</v>
      </c>
      <c r="AI20" s="168">
        <f t="shared" si="10"/>
        <v>0</v>
      </c>
      <c r="AJ20" s="252">
        <f t="shared" si="11"/>
        <v>1592</v>
      </c>
      <c r="AK20" s="168"/>
      <c r="AL20" s="171"/>
      <c r="AM20" s="174"/>
    </row>
    <row r="21" spans="1:40" s="29" customFormat="1" ht="43.5" customHeight="1" x14ac:dyDescent="0.2">
      <c r="A21" s="5"/>
      <c r="B21" s="38">
        <v>6</v>
      </c>
      <c r="C21" s="38" t="s">
        <v>361</v>
      </c>
      <c r="D21" s="244" t="s">
        <v>163</v>
      </c>
      <c r="E21" s="245" t="s">
        <v>30</v>
      </c>
      <c r="F21" s="245"/>
      <c r="G21" s="245">
        <v>15</v>
      </c>
      <c r="H21" s="246">
        <v>106.133</v>
      </c>
      <c r="I21" s="118">
        <f t="shared" si="0"/>
        <v>1592</v>
      </c>
      <c r="J21" s="247">
        <v>0</v>
      </c>
      <c r="K21" s="247">
        <f t="shared" si="1"/>
        <v>0</v>
      </c>
      <c r="L21" s="247">
        <v>0</v>
      </c>
      <c r="M21" s="247">
        <v>0</v>
      </c>
      <c r="N21" s="247">
        <v>0</v>
      </c>
      <c r="O21" s="247">
        <v>0</v>
      </c>
      <c r="P21" s="168">
        <f t="shared" si="2"/>
        <v>1592</v>
      </c>
      <c r="Q21" s="248"/>
      <c r="R21" s="168">
        <f t="shared" si="3"/>
        <v>0</v>
      </c>
      <c r="S21" s="168">
        <f t="shared" si="4"/>
        <v>1592</v>
      </c>
      <c r="T21" s="168">
        <v>318.01</v>
      </c>
      <c r="U21" s="168">
        <f t="shared" si="5"/>
        <v>1273.99</v>
      </c>
      <c r="V21" s="249">
        <v>6.4000000000000001E-2</v>
      </c>
      <c r="W21" s="168">
        <f t="shared" si="6"/>
        <v>81.535359999999997</v>
      </c>
      <c r="X21" s="168">
        <v>6.15</v>
      </c>
      <c r="Y21" s="168">
        <f t="shared" si="7"/>
        <v>87.685360000000003</v>
      </c>
      <c r="Z21" s="168">
        <v>200.7</v>
      </c>
      <c r="AA21" s="168">
        <f t="shared" si="8"/>
        <v>-113.01463999999999</v>
      </c>
      <c r="AB21" s="250"/>
      <c r="AC21" s="168">
        <v>0</v>
      </c>
      <c r="AD21" s="168">
        <f t="shared" si="9"/>
        <v>0</v>
      </c>
      <c r="AE21" s="168">
        <v>0</v>
      </c>
      <c r="AF21" s="247">
        <v>0</v>
      </c>
      <c r="AG21" s="247">
        <v>0</v>
      </c>
      <c r="AH21" s="251">
        <v>0</v>
      </c>
      <c r="AI21" s="168">
        <f t="shared" si="10"/>
        <v>0</v>
      </c>
      <c r="AJ21" s="252">
        <f t="shared" si="11"/>
        <v>1592</v>
      </c>
      <c r="AK21" s="168"/>
      <c r="AL21" s="171"/>
      <c r="AM21" s="174"/>
    </row>
    <row r="22" spans="1:40" s="29" customFormat="1" ht="30.75" customHeight="1" x14ac:dyDescent="0.2">
      <c r="A22" s="5"/>
      <c r="B22" s="38">
        <v>7</v>
      </c>
      <c r="C22" s="38" t="s">
        <v>361</v>
      </c>
      <c r="D22" s="253" t="s">
        <v>131</v>
      </c>
      <c r="E22" s="245" t="s">
        <v>30</v>
      </c>
      <c r="F22" s="38"/>
      <c r="G22" s="38">
        <v>15</v>
      </c>
      <c r="H22" s="246">
        <v>106.133</v>
      </c>
      <c r="I22" s="118">
        <f t="shared" si="0"/>
        <v>1592</v>
      </c>
      <c r="J22" s="247">
        <v>0</v>
      </c>
      <c r="K22" s="247">
        <f t="shared" si="1"/>
        <v>0</v>
      </c>
      <c r="L22" s="247">
        <v>0</v>
      </c>
      <c r="M22" s="247">
        <v>0</v>
      </c>
      <c r="N22" s="247">
        <v>0</v>
      </c>
      <c r="O22" s="247">
        <v>0</v>
      </c>
      <c r="P22" s="168">
        <f t="shared" si="2"/>
        <v>1592</v>
      </c>
      <c r="Q22" s="248"/>
      <c r="R22" s="168">
        <f t="shared" si="3"/>
        <v>0</v>
      </c>
      <c r="S22" s="168">
        <f t="shared" si="4"/>
        <v>1592</v>
      </c>
      <c r="T22" s="168">
        <v>318.01</v>
      </c>
      <c r="U22" s="168">
        <f t="shared" si="5"/>
        <v>1273.99</v>
      </c>
      <c r="V22" s="249">
        <v>6.4000000000000001E-2</v>
      </c>
      <c r="W22" s="168">
        <f t="shared" si="6"/>
        <v>81.535359999999997</v>
      </c>
      <c r="X22" s="168">
        <v>6.15</v>
      </c>
      <c r="Y22" s="168">
        <f t="shared" si="7"/>
        <v>87.685360000000003</v>
      </c>
      <c r="Z22" s="168">
        <v>200.7</v>
      </c>
      <c r="AA22" s="168">
        <f t="shared" si="8"/>
        <v>-113.01463999999999</v>
      </c>
      <c r="AB22" s="248"/>
      <c r="AC22" s="168">
        <v>0</v>
      </c>
      <c r="AD22" s="168">
        <f t="shared" si="9"/>
        <v>0</v>
      </c>
      <c r="AE22" s="168">
        <v>0</v>
      </c>
      <c r="AF22" s="247">
        <v>0</v>
      </c>
      <c r="AG22" s="247">
        <v>0</v>
      </c>
      <c r="AH22" s="251">
        <v>0</v>
      </c>
      <c r="AI22" s="168">
        <f t="shared" si="10"/>
        <v>0</v>
      </c>
      <c r="AJ22" s="252">
        <f t="shared" si="11"/>
        <v>1592</v>
      </c>
      <c r="AK22" s="38"/>
      <c r="AL22" s="50"/>
      <c r="AM22" s="175"/>
    </row>
    <row r="23" spans="1:40" x14ac:dyDescent="0.2">
      <c r="B23" s="39"/>
      <c r="C23" s="39"/>
      <c r="D23" s="68"/>
      <c r="E23" s="39"/>
      <c r="F23" s="39"/>
      <c r="G23" s="39"/>
      <c r="H23" s="39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177"/>
      <c r="U23" s="45"/>
      <c r="V23" s="45"/>
      <c r="W23" s="45"/>
      <c r="X23" s="45"/>
      <c r="Y23" s="45"/>
      <c r="Z23" s="177"/>
      <c r="AA23" s="45"/>
      <c r="AB23" s="45"/>
      <c r="AC23" s="45"/>
      <c r="AD23" s="45"/>
      <c r="AE23" s="45"/>
      <c r="AF23" s="45"/>
      <c r="AG23" s="45"/>
      <c r="AH23" s="45"/>
      <c r="AI23" s="45"/>
      <c r="AJ23" s="178"/>
      <c r="AK23" s="39"/>
      <c r="AL23" s="171"/>
    </row>
    <row r="24" spans="1:40" ht="16.5" thickBot="1" x14ac:dyDescent="0.25">
      <c r="B24" s="427" t="s">
        <v>17</v>
      </c>
      <c r="C24" s="428"/>
      <c r="D24" s="428"/>
      <c r="E24" s="428"/>
      <c r="F24" s="428"/>
      <c r="G24" s="428"/>
      <c r="H24" s="429"/>
      <c r="I24" s="46">
        <f t="shared" ref="I24:P24" si="12">SUM(I16:I22)</f>
        <v>11144</v>
      </c>
      <c r="J24" s="46">
        <f t="shared" si="12"/>
        <v>0</v>
      </c>
      <c r="K24" s="46">
        <f t="shared" si="12"/>
        <v>0</v>
      </c>
      <c r="L24" s="46">
        <f t="shared" si="12"/>
        <v>0</v>
      </c>
      <c r="M24" s="46">
        <f t="shared" si="12"/>
        <v>0</v>
      </c>
      <c r="N24" s="46">
        <f t="shared" si="12"/>
        <v>0</v>
      </c>
      <c r="O24" s="46">
        <f t="shared" si="12"/>
        <v>0</v>
      </c>
      <c r="P24" s="46">
        <f t="shared" si="12"/>
        <v>11144</v>
      </c>
      <c r="Q24" s="46"/>
      <c r="R24" s="46">
        <f t="shared" ref="R24:AA24" si="13">SUM(R16:R22)</f>
        <v>0</v>
      </c>
      <c r="S24" s="46">
        <f t="shared" si="13"/>
        <v>11144</v>
      </c>
      <c r="T24" s="46">
        <f t="shared" si="13"/>
        <v>2226.0699999999997</v>
      </c>
      <c r="U24" s="46">
        <f t="shared" si="13"/>
        <v>8917.93</v>
      </c>
      <c r="V24" s="46">
        <f t="shared" si="13"/>
        <v>0.44800000000000001</v>
      </c>
      <c r="W24" s="46">
        <f t="shared" si="13"/>
        <v>570.74751999999989</v>
      </c>
      <c r="X24" s="46">
        <f t="shared" si="13"/>
        <v>43.05</v>
      </c>
      <c r="Y24" s="46">
        <f t="shared" si="13"/>
        <v>613.79752000000008</v>
      </c>
      <c r="Z24" s="46">
        <f t="shared" si="13"/>
        <v>1404.9</v>
      </c>
      <c r="AA24" s="46">
        <f t="shared" si="13"/>
        <v>-791.1024799999999</v>
      </c>
      <c r="AB24" s="46"/>
      <c r="AC24" s="46">
        <f t="shared" ref="AC24:AI24" si="14">SUM(AC16:AC22)</f>
        <v>0</v>
      </c>
      <c r="AD24" s="46">
        <f t="shared" si="14"/>
        <v>0</v>
      </c>
      <c r="AE24" s="46">
        <f t="shared" si="14"/>
        <v>0</v>
      </c>
      <c r="AF24" s="46">
        <f t="shared" si="14"/>
        <v>0</v>
      </c>
      <c r="AG24" s="46">
        <f t="shared" si="14"/>
        <v>0</v>
      </c>
      <c r="AH24" s="46">
        <f t="shared" si="14"/>
        <v>0</v>
      </c>
      <c r="AI24" s="46">
        <f t="shared" si="14"/>
        <v>0</v>
      </c>
      <c r="AJ24" s="179">
        <f>SUM(AJ16:AJ22)</f>
        <v>11144</v>
      </c>
      <c r="AK24" s="39"/>
      <c r="AL24" s="171"/>
      <c r="AM24" s="175">
        <f>P24+AC24-AI24</f>
        <v>11144</v>
      </c>
    </row>
    <row r="25" spans="1:40" ht="18" thickTop="1" x14ac:dyDescent="0.2">
      <c r="B25" s="39"/>
      <c r="C25" s="39"/>
      <c r="D25" s="6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170"/>
      <c r="AK25" s="39"/>
      <c r="AL25" s="171"/>
    </row>
    <row r="26" spans="1:40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0"/>
      <c r="AK26" s="39"/>
      <c r="AL26" s="171"/>
    </row>
    <row r="27" spans="1:40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0"/>
      <c r="AK27" s="39"/>
      <c r="AL27" s="171"/>
    </row>
    <row r="28" spans="1:40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0"/>
      <c r="AK28" s="39"/>
      <c r="AL28" s="171"/>
    </row>
    <row r="29" spans="1:40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0"/>
      <c r="AK29" s="39"/>
      <c r="AL29" s="171"/>
    </row>
    <row r="30" spans="1:40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0"/>
      <c r="AK30" s="39"/>
      <c r="AL30" s="171"/>
    </row>
    <row r="31" spans="1:40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0"/>
      <c r="AK31" s="39"/>
      <c r="AL31" s="171"/>
    </row>
    <row r="32" spans="1:40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0"/>
      <c r="AK32" s="39"/>
      <c r="AL32" s="171"/>
    </row>
    <row r="33" spans="1:38" ht="18" thickBot="1" x14ac:dyDescent="0.25">
      <c r="A33" s="5" t="s">
        <v>28</v>
      </c>
      <c r="B33" s="39"/>
      <c r="C33" s="39"/>
      <c r="D33" s="70"/>
      <c r="E33" s="47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7"/>
      <c r="AD33" s="47"/>
      <c r="AE33" s="39"/>
      <c r="AF33" s="39"/>
      <c r="AG33" s="39"/>
      <c r="AH33" s="47"/>
      <c r="AI33" s="47"/>
      <c r="AJ33" s="180"/>
      <c r="AK33" s="47"/>
      <c r="AL33" s="171"/>
    </row>
    <row r="34" spans="1:38" ht="31.5" customHeight="1" x14ac:dyDescent="0.2">
      <c r="B34" s="39"/>
      <c r="C34" s="39"/>
      <c r="D34" s="430" t="s">
        <v>481</v>
      </c>
      <c r="E34" s="430"/>
      <c r="F34" s="237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31" t="s">
        <v>287</v>
      </c>
      <c r="AD34" s="431"/>
      <c r="AE34" s="431"/>
      <c r="AF34" s="431"/>
      <c r="AG34" s="431"/>
      <c r="AH34" s="431"/>
      <c r="AI34" s="431"/>
      <c r="AJ34" s="431"/>
      <c r="AK34" s="431"/>
      <c r="AL34" s="171"/>
    </row>
    <row r="35" spans="1:38" ht="31.5" customHeight="1" x14ac:dyDescent="0.2">
      <c r="B35" s="39"/>
      <c r="C35" s="39"/>
      <c r="D35" s="432" t="s">
        <v>145</v>
      </c>
      <c r="E35" s="4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1" t="s">
        <v>357</v>
      </c>
      <c r="AD35" s="431"/>
      <c r="AE35" s="431"/>
      <c r="AF35" s="431"/>
      <c r="AG35" s="431"/>
      <c r="AH35" s="431"/>
      <c r="AI35" s="431"/>
      <c r="AJ35" s="431"/>
      <c r="AK35" s="431"/>
      <c r="AL35" s="171"/>
    </row>
    <row r="36" spans="1:38" x14ac:dyDescent="0.2">
      <c r="B36" s="48"/>
      <c r="C36" s="48"/>
      <c r="D36" s="68"/>
      <c r="E36" s="48"/>
      <c r="F36" s="48"/>
      <c r="G36" s="48"/>
      <c r="H36" s="48"/>
      <c r="AK36" s="48"/>
      <c r="AL36" s="182"/>
    </row>
    <row r="37" spans="1:38" x14ac:dyDescent="0.2">
      <c r="B37" s="48"/>
      <c r="C37" s="48"/>
      <c r="D37" s="68"/>
      <c r="E37" s="48"/>
      <c r="F37" s="48"/>
      <c r="G37" s="48"/>
      <c r="H37" s="48"/>
      <c r="AK37" s="48"/>
      <c r="AL37" s="182"/>
    </row>
    <row r="38" spans="1:38" x14ac:dyDescent="0.2">
      <c r="B38" s="48"/>
      <c r="C38" s="48"/>
      <c r="D38" s="68"/>
      <c r="E38" s="48"/>
      <c r="F38" s="48"/>
      <c r="G38" s="48"/>
      <c r="H38" s="48"/>
      <c r="I38" s="48" t="s">
        <v>91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181">
        <f>+AJ16+AJ17+AJ18+AJ19+AJ20+AJ21+AJ22</f>
        <v>11144</v>
      </c>
      <c r="AK38" s="48"/>
      <c r="AL38" s="182"/>
    </row>
    <row r="39" spans="1:38" x14ac:dyDescent="0.2">
      <c r="B39" s="48"/>
      <c r="C39" s="48"/>
      <c r="D39" s="68"/>
      <c r="E39" s="48"/>
      <c r="F39" s="48"/>
      <c r="G39" s="48"/>
      <c r="H39" s="48"/>
      <c r="I39" s="48" t="s">
        <v>92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1">
        <v>0</v>
      </c>
      <c r="AK39" s="48"/>
      <c r="AL39" s="182"/>
    </row>
    <row r="40" spans="1:38" x14ac:dyDescent="0.2">
      <c r="B40" s="48"/>
      <c r="C40" s="48"/>
      <c r="D40" s="6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1">
        <f>+AJ38+AJ39</f>
        <v>11144</v>
      </c>
      <c r="AK40" s="48"/>
      <c r="AL40" s="182"/>
    </row>
    <row r="41" spans="1:38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3"/>
      <c r="AK41" s="48"/>
      <c r="AL41" s="182"/>
    </row>
    <row r="42" spans="1:38" x14ac:dyDescent="0.2">
      <c r="AJ42" s="184"/>
    </row>
  </sheetData>
  <mergeCells count="16"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  <mergeCell ref="B24:H24"/>
    <mergeCell ref="D34:E34"/>
    <mergeCell ref="AC34:AK34"/>
    <mergeCell ref="D35:E35"/>
    <mergeCell ref="AC35:AK3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topLeftCell="A21" workbookViewId="0">
      <selection activeCell="E49" sqref="E49:E53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195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4"/>
      <c r="D2" s="44"/>
      <c r="E2" s="39"/>
      <c r="F2" s="39"/>
      <c r="G2" s="39"/>
      <c r="H2" s="187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">
      <c r="A3" s="39"/>
      <c r="B3" s="39"/>
      <c r="C3" s="432" t="s">
        <v>98</v>
      </c>
      <c r="D3" s="432"/>
      <c r="E3" s="432"/>
      <c r="F3" s="432"/>
      <c r="G3" s="432"/>
      <c r="H3" s="432"/>
      <c r="I3" s="432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">
      <c r="A4" s="39"/>
      <c r="B4" s="39"/>
      <c r="C4" s="44"/>
      <c r="D4" s="44"/>
      <c r="E4" s="39"/>
      <c r="F4" s="39"/>
      <c r="G4" s="39"/>
      <c r="H4" s="187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">
      <c r="A5" s="39"/>
      <c r="B5" s="39"/>
      <c r="C5" s="44"/>
      <c r="D5" s="44"/>
      <c r="E5" s="39"/>
      <c r="F5" s="39"/>
      <c r="G5" s="39"/>
      <c r="H5" s="187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x14ac:dyDescent="0.2">
      <c r="A6" s="449" t="s">
        <v>490</v>
      </c>
      <c r="B6" s="449"/>
      <c r="C6" s="449"/>
      <c r="D6" s="449"/>
      <c r="E6" s="449"/>
      <c r="F6" s="449"/>
      <c r="G6" s="449"/>
      <c r="H6" s="449"/>
      <c r="I6" s="449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x14ac:dyDescent="0.2">
      <c r="A7" s="444" t="s">
        <v>140</v>
      </c>
      <c r="B7" s="197"/>
      <c r="C7" s="450" t="s">
        <v>14</v>
      </c>
      <c r="D7" s="450" t="s">
        <v>27</v>
      </c>
      <c r="E7" s="38"/>
      <c r="F7" s="37" t="s">
        <v>139</v>
      </c>
      <c r="G7" s="37" t="s">
        <v>1</v>
      </c>
      <c r="H7" s="453" t="s">
        <v>322</v>
      </c>
      <c r="I7" s="444" t="s">
        <v>319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x14ac:dyDescent="0.2">
      <c r="A8" s="445"/>
      <c r="B8" s="198" t="s">
        <v>361</v>
      </c>
      <c r="C8" s="451"/>
      <c r="D8" s="451"/>
      <c r="E8" s="37" t="s">
        <v>99</v>
      </c>
      <c r="F8" s="51" t="s">
        <v>15</v>
      </c>
      <c r="G8" s="37" t="s">
        <v>16</v>
      </c>
      <c r="H8" s="454"/>
      <c r="I8" s="445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x14ac:dyDescent="0.2">
      <c r="A9" s="446"/>
      <c r="B9" s="199"/>
      <c r="C9" s="452"/>
      <c r="D9" s="452"/>
      <c r="E9" s="37"/>
      <c r="F9" s="37"/>
      <c r="G9" s="37"/>
      <c r="H9" s="455"/>
      <c r="I9" s="446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6">
        <f>+H10+H11+H12+H13+H14+H15+H16+H17+H18+H19+H20+H21</f>
        <v>16064</v>
      </c>
      <c r="AM9" t="s">
        <v>91</v>
      </c>
    </row>
    <row r="10" spans="1:39" ht="25.5" x14ac:dyDescent="0.2">
      <c r="A10" s="38">
        <v>1</v>
      </c>
      <c r="B10" s="38" t="s">
        <v>361</v>
      </c>
      <c r="C10" s="254" t="s">
        <v>266</v>
      </c>
      <c r="D10" s="81" t="s">
        <v>100</v>
      </c>
      <c r="E10" s="245"/>
      <c r="F10" s="245">
        <v>15</v>
      </c>
      <c r="G10" s="246">
        <v>92.6</v>
      </c>
      <c r="H10" s="255">
        <f>F10*G10</f>
        <v>1389</v>
      </c>
      <c r="I10" s="16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69"/>
      <c r="AM10" t="s">
        <v>92</v>
      </c>
    </row>
    <row r="11" spans="1:39" ht="38.25" x14ac:dyDescent="0.2">
      <c r="A11" s="38">
        <v>2</v>
      </c>
      <c r="B11" s="38" t="s">
        <v>361</v>
      </c>
      <c r="C11" s="254" t="s">
        <v>267</v>
      </c>
      <c r="D11" s="81" t="s">
        <v>101</v>
      </c>
      <c r="E11" s="245"/>
      <c r="F11" s="245">
        <v>15</v>
      </c>
      <c r="G11" s="246">
        <v>133.33000000000001</v>
      </c>
      <c r="H11" s="255">
        <v>2000</v>
      </c>
      <c r="I11" s="16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.5" x14ac:dyDescent="0.2">
      <c r="A12" s="38">
        <v>3</v>
      </c>
      <c r="B12" s="38" t="s">
        <v>361</v>
      </c>
      <c r="C12" s="254" t="s">
        <v>268</v>
      </c>
      <c r="D12" s="81" t="s">
        <v>143</v>
      </c>
      <c r="E12" s="245"/>
      <c r="F12" s="245">
        <v>15</v>
      </c>
      <c r="G12" s="246">
        <v>86.73</v>
      </c>
      <c r="H12" s="255">
        <v>1301</v>
      </c>
      <c r="I12" s="16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.5" x14ac:dyDescent="0.2">
      <c r="A13" s="38">
        <v>4</v>
      </c>
      <c r="B13" s="38" t="s">
        <v>361</v>
      </c>
      <c r="C13" s="254" t="s">
        <v>488</v>
      </c>
      <c r="D13" s="81" t="s">
        <v>144</v>
      </c>
      <c r="E13" s="245"/>
      <c r="F13" s="245">
        <v>15</v>
      </c>
      <c r="G13" s="246">
        <v>86.73</v>
      </c>
      <c r="H13" s="255">
        <v>1301</v>
      </c>
      <c r="I13" s="1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.5" x14ac:dyDescent="0.2">
      <c r="A14" s="38">
        <v>5</v>
      </c>
      <c r="B14" s="38" t="s">
        <v>361</v>
      </c>
      <c r="C14" s="254" t="s">
        <v>269</v>
      </c>
      <c r="D14" s="81" t="s">
        <v>110</v>
      </c>
      <c r="E14" s="245"/>
      <c r="F14" s="245">
        <v>15</v>
      </c>
      <c r="G14" s="246">
        <v>80</v>
      </c>
      <c r="H14" s="255">
        <v>1200</v>
      </c>
      <c r="I14" s="1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.5" x14ac:dyDescent="0.2">
      <c r="A15" s="38">
        <v>6</v>
      </c>
      <c r="B15" s="38" t="s">
        <v>361</v>
      </c>
      <c r="C15" s="254" t="s">
        <v>270</v>
      </c>
      <c r="D15" s="81" t="s">
        <v>110</v>
      </c>
      <c r="E15" s="245"/>
      <c r="F15" s="245">
        <v>15</v>
      </c>
      <c r="G15" s="246">
        <v>100</v>
      </c>
      <c r="H15" s="255">
        <v>1500</v>
      </c>
      <c r="I15" s="1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38.25" x14ac:dyDescent="0.2">
      <c r="A16" s="38">
        <v>7</v>
      </c>
      <c r="B16" s="38" t="s">
        <v>361</v>
      </c>
      <c r="C16" s="254" t="s">
        <v>271</v>
      </c>
      <c r="D16" s="81" t="s">
        <v>147</v>
      </c>
      <c r="E16" s="245"/>
      <c r="F16" s="245">
        <v>15</v>
      </c>
      <c r="G16" s="246">
        <v>65</v>
      </c>
      <c r="H16" s="255">
        <f>F16*G16</f>
        <v>975</v>
      </c>
      <c r="I16" s="1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.5" x14ac:dyDescent="0.2">
      <c r="A17" s="38">
        <v>8</v>
      </c>
      <c r="B17" s="38" t="s">
        <v>361</v>
      </c>
      <c r="C17" s="256" t="s">
        <v>136</v>
      </c>
      <c r="D17" s="257" t="s">
        <v>137</v>
      </c>
      <c r="E17" s="38"/>
      <c r="F17" s="245">
        <v>15</v>
      </c>
      <c r="G17" s="258">
        <v>88.67</v>
      </c>
      <c r="H17" s="255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.5" x14ac:dyDescent="0.2">
      <c r="A18" s="38">
        <v>9</v>
      </c>
      <c r="B18" s="38" t="s">
        <v>361</v>
      </c>
      <c r="C18" s="256" t="s">
        <v>272</v>
      </c>
      <c r="D18" s="81" t="s">
        <v>146</v>
      </c>
      <c r="E18" s="38"/>
      <c r="F18" s="245">
        <v>15</v>
      </c>
      <c r="G18" s="258">
        <v>64.53</v>
      </c>
      <c r="H18" s="255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">
      <c r="A19" s="38">
        <v>10</v>
      </c>
      <c r="B19" s="38" t="s">
        <v>361</v>
      </c>
      <c r="C19" s="256" t="s">
        <v>148</v>
      </c>
      <c r="D19" s="257"/>
      <c r="E19" s="38"/>
      <c r="F19" s="245">
        <v>15</v>
      </c>
      <c r="G19" s="38">
        <v>80</v>
      </c>
      <c r="H19" s="255">
        <v>1200</v>
      </c>
      <c r="I19" s="38"/>
      <c r="J19" s="48" t="s">
        <v>321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">
      <c r="A20" s="38">
        <v>11</v>
      </c>
      <c r="B20" s="210" t="s">
        <v>361</v>
      </c>
      <c r="C20" s="259" t="s">
        <v>283</v>
      </c>
      <c r="D20" s="256" t="s">
        <v>155</v>
      </c>
      <c r="E20" s="210"/>
      <c r="F20" s="245">
        <v>15</v>
      </c>
      <c r="G20" s="260">
        <f>H20/15</f>
        <v>113.33333333333333</v>
      </c>
      <c r="H20" s="255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">
      <c r="A21" s="261">
        <v>12</v>
      </c>
      <c r="B21" s="261" t="s">
        <v>361</v>
      </c>
      <c r="C21" s="256" t="s">
        <v>320</v>
      </c>
      <c r="D21" s="259" t="s">
        <v>156</v>
      </c>
      <c r="E21" s="38"/>
      <c r="F21" s="262">
        <v>15</v>
      </c>
      <c r="G21" s="260">
        <v>80</v>
      </c>
      <c r="H21" s="255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25">
      <c r="A22" s="440" t="s">
        <v>17</v>
      </c>
      <c r="B22" s="441"/>
      <c r="C22" s="441"/>
      <c r="D22" s="441"/>
      <c r="E22" s="441"/>
      <c r="F22" s="441"/>
      <c r="G22" s="442"/>
      <c r="H22" s="188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7"/>
    </row>
    <row r="23" spans="1:38" ht="13.5" thickTop="1" x14ac:dyDescent="0.2">
      <c r="A23" s="39"/>
      <c r="B23" s="39"/>
      <c r="C23" s="44"/>
      <c r="D23" s="44"/>
      <c r="E23" s="39"/>
      <c r="F23" s="39"/>
      <c r="G23" s="39"/>
      <c r="H23" s="187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">
      <c r="A24" s="39"/>
      <c r="B24" s="39"/>
      <c r="C24" s="44"/>
      <c r="D24" s="44"/>
      <c r="E24" s="39"/>
      <c r="F24" s="39"/>
      <c r="G24" s="39"/>
      <c r="H24" s="187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.5" thickBot="1" x14ac:dyDescent="0.25">
      <c r="A25" s="39"/>
      <c r="B25" s="39"/>
      <c r="C25" s="44"/>
      <c r="D25" s="44"/>
      <c r="E25" s="39"/>
      <c r="F25" s="39"/>
      <c r="G25" s="39"/>
      <c r="H25" s="189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">
      <c r="A26" s="430" t="s">
        <v>481</v>
      </c>
      <c r="B26" s="430"/>
      <c r="C26" s="430"/>
      <c r="D26" s="44"/>
      <c r="E26" s="41"/>
      <c r="F26" s="41"/>
      <c r="G26" s="41"/>
      <c r="H26" s="431" t="s">
        <v>287</v>
      </c>
      <c r="I26" s="431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2.95" customHeight="1" x14ac:dyDescent="0.2">
      <c r="A27" s="432" t="s">
        <v>133</v>
      </c>
      <c r="B27" s="432"/>
      <c r="C27" s="432"/>
      <c r="D27" s="44"/>
      <c r="E27" s="39"/>
      <c r="F27" s="39"/>
      <c r="G27" s="39"/>
      <c r="H27" s="432" t="s">
        <v>102</v>
      </c>
      <c r="I27" s="43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">
      <c r="A28" s="48"/>
      <c r="B28" s="48"/>
      <c r="C28" s="44"/>
      <c r="D28" s="56"/>
      <c r="E28" s="48"/>
      <c r="F28" s="48"/>
      <c r="G28" s="48"/>
      <c r="H28" s="19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">
      <c r="A29" s="48"/>
      <c r="B29" s="48"/>
      <c r="C29" s="44"/>
      <c r="D29" s="56"/>
      <c r="E29" s="48"/>
      <c r="F29" s="48"/>
      <c r="G29" s="48"/>
      <c r="H29" s="19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">
      <c r="A30" s="48"/>
      <c r="B30" s="48"/>
      <c r="C30" s="44"/>
      <c r="D30" s="56"/>
      <c r="E30" s="48"/>
      <c r="F30" s="48"/>
      <c r="G30" s="48"/>
      <c r="H30" s="190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">
      <c r="A31" s="48"/>
      <c r="B31" s="48"/>
      <c r="C31" s="44"/>
      <c r="D31" s="56"/>
      <c r="E31" s="48"/>
      <c r="F31" s="48"/>
      <c r="G31" s="48"/>
      <c r="H31" s="190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">
      <c r="A32" s="48"/>
      <c r="B32" s="48"/>
      <c r="C32" s="44"/>
      <c r="D32" s="56"/>
      <c r="E32" s="48"/>
      <c r="F32" s="48"/>
      <c r="G32" s="48"/>
      <c r="H32" s="19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">
      <c r="A33" s="48"/>
      <c r="B33" s="48"/>
      <c r="C33" s="44"/>
      <c r="D33" s="56"/>
      <c r="E33" s="48"/>
      <c r="F33" s="48"/>
      <c r="G33" s="48"/>
      <c r="H33" s="19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">
      <c r="A34" s="48"/>
      <c r="B34" s="48"/>
      <c r="C34" s="44"/>
      <c r="D34" s="56"/>
      <c r="E34" s="48"/>
      <c r="F34" s="48"/>
      <c r="G34" s="48"/>
      <c r="H34" s="190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">
      <c r="A35" s="48"/>
      <c r="B35" s="48"/>
      <c r="C35" s="44"/>
      <c r="D35" s="56"/>
      <c r="E35" s="48"/>
      <c r="F35" s="48"/>
      <c r="G35" s="48"/>
      <c r="H35" s="19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">
      <c r="A36" s="48"/>
      <c r="B36" s="48"/>
      <c r="C36" s="44"/>
      <c r="D36" s="56"/>
      <c r="E36" s="48"/>
      <c r="F36" s="48"/>
      <c r="G36" s="48"/>
      <c r="H36" s="190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">
      <c r="A37" s="48"/>
      <c r="B37" s="48"/>
      <c r="C37" s="44"/>
      <c r="D37" s="56"/>
      <c r="E37" s="48"/>
      <c r="F37" s="48" t="s">
        <v>91</v>
      </c>
      <c r="G37" s="48"/>
      <c r="H37" s="190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">
      <c r="A38" s="48"/>
      <c r="B38" s="48"/>
      <c r="C38" s="44"/>
      <c r="D38" s="56"/>
      <c r="E38" s="48"/>
      <c r="F38" s="48" t="s">
        <v>92</v>
      </c>
      <c r="G38" s="48"/>
      <c r="H38" s="19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">
      <c r="A39" s="48"/>
      <c r="B39" s="48"/>
      <c r="C39" s="44"/>
      <c r="D39" s="56"/>
      <c r="E39" s="48"/>
      <c r="F39" s="48"/>
      <c r="G39" s="48"/>
      <c r="H39" s="190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">
      <c r="A40" s="48"/>
      <c r="B40" s="48"/>
      <c r="C40" s="44"/>
      <c r="D40" s="56"/>
      <c r="E40" s="48"/>
      <c r="F40" s="48"/>
      <c r="G40" s="48"/>
      <c r="H40" s="19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">
      <c r="A41" s="48"/>
      <c r="B41" s="48"/>
      <c r="C41" s="44"/>
      <c r="D41" s="56"/>
      <c r="E41" s="48"/>
      <c r="F41" s="48"/>
      <c r="G41" s="48"/>
      <c r="H41" s="19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48"/>
      <c r="B42" s="48"/>
      <c r="C42" s="56"/>
      <c r="D42" s="56"/>
      <c r="E42" s="42"/>
      <c r="F42" s="48"/>
      <c r="G42" s="42"/>
      <c r="H42" s="190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48"/>
      <c r="B43" s="48"/>
      <c r="C43" s="56"/>
      <c r="D43" s="56"/>
      <c r="E43" s="48"/>
      <c r="F43" s="48"/>
      <c r="G43" s="48"/>
      <c r="H43" s="19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433" t="s">
        <v>129</v>
      </c>
      <c r="B44" s="433"/>
      <c r="C44" s="433"/>
      <c r="D44" s="433"/>
      <c r="E44" s="433"/>
      <c r="F44" s="433"/>
      <c r="G44" s="433"/>
      <c r="H44" s="433"/>
      <c r="I44" s="433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443" t="s">
        <v>490</v>
      </c>
      <c r="B45" s="443"/>
      <c r="C45" s="443"/>
      <c r="D45" s="443"/>
      <c r="E45" s="443"/>
      <c r="F45" s="443"/>
      <c r="G45" s="443"/>
      <c r="H45" s="443"/>
      <c r="I45" s="443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57"/>
      <c r="B46" s="57"/>
      <c r="C46" s="58"/>
      <c r="D46" s="58"/>
      <c r="E46" s="57"/>
      <c r="F46" s="166" t="s">
        <v>139</v>
      </c>
      <c r="G46" s="166" t="s">
        <v>1</v>
      </c>
      <c r="H46" s="191" t="s">
        <v>312</v>
      </c>
      <c r="I46" s="444" t="s">
        <v>319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52" t="s">
        <v>140</v>
      </c>
      <c r="B47" s="52" t="s">
        <v>361</v>
      </c>
      <c r="C47" s="53" t="s">
        <v>14</v>
      </c>
      <c r="D47" s="53" t="s">
        <v>27</v>
      </c>
      <c r="E47" s="52" t="s">
        <v>99</v>
      </c>
      <c r="F47" s="165" t="s">
        <v>15</v>
      </c>
      <c r="G47" s="52" t="s">
        <v>16</v>
      </c>
      <c r="H47" s="192" t="s">
        <v>318</v>
      </c>
      <c r="I47" s="445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54"/>
      <c r="B48" s="54"/>
      <c r="C48" s="55"/>
      <c r="D48" s="55"/>
      <c r="E48" s="54"/>
      <c r="F48" s="54"/>
      <c r="G48" s="54"/>
      <c r="H48" s="193" t="s">
        <v>317</v>
      </c>
      <c r="I48" s="446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.5" x14ac:dyDescent="0.2">
      <c r="A49" s="263">
        <v>1</v>
      </c>
      <c r="B49" s="263" t="s">
        <v>361</v>
      </c>
      <c r="C49" s="254" t="s">
        <v>273</v>
      </c>
      <c r="D49" s="264" t="s">
        <v>130</v>
      </c>
      <c r="E49" s="265"/>
      <c r="F49" s="265">
        <v>15</v>
      </c>
      <c r="G49" s="266">
        <f>H49/F49</f>
        <v>100</v>
      </c>
      <c r="H49" s="267">
        <v>1500</v>
      </c>
      <c r="I49" s="16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.5" x14ac:dyDescent="0.2">
      <c r="A50" s="263">
        <v>2</v>
      </c>
      <c r="B50" s="263" t="s">
        <v>361</v>
      </c>
      <c r="C50" s="254" t="s">
        <v>359</v>
      </c>
      <c r="D50" s="264" t="s">
        <v>360</v>
      </c>
      <c r="E50" s="265"/>
      <c r="F50" s="265">
        <v>15</v>
      </c>
      <c r="G50" s="266">
        <f>H50/F50</f>
        <v>129.80000000000001</v>
      </c>
      <c r="H50" s="267">
        <v>1947</v>
      </c>
      <c r="I50" s="16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">
      <c r="A51" s="263">
        <v>3</v>
      </c>
      <c r="B51" s="263" t="s">
        <v>361</v>
      </c>
      <c r="C51" s="254" t="s">
        <v>274</v>
      </c>
      <c r="D51" s="265" t="s">
        <v>108</v>
      </c>
      <c r="E51" s="265"/>
      <c r="F51" s="265">
        <v>15</v>
      </c>
      <c r="G51" s="266">
        <v>100</v>
      </c>
      <c r="H51" s="267">
        <v>1500</v>
      </c>
      <c r="I51" s="162"/>
      <c r="J51" s="158"/>
      <c r="K51" s="158"/>
      <c r="L51" s="158"/>
      <c r="M51" s="158"/>
      <c r="N51" s="158"/>
      <c r="O51" s="156"/>
      <c r="P51" s="161"/>
      <c r="Q51" s="156"/>
      <c r="R51" s="156"/>
      <c r="S51" s="156"/>
      <c r="T51" s="156"/>
      <c r="U51" s="160"/>
      <c r="V51" s="156"/>
      <c r="W51" s="156"/>
      <c r="X51" s="156"/>
      <c r="Y51" s="156"/>
      <c r="Z51" s="156"/>
      <c r="AA51" s="159"/>
      <c r="AB51" s="156"/>
      <c r="AC51" s="156"/>
      <c r="AD51" s="156"/>
      <c r="AE51" s="158"/>
      <c r="AF51" s="158"/>
      <c r="AG51" s="157"/>
      <c r="AH51" s="156"/>
      <c r="AI51" s="156">
        <v>2000</v>
      </c>
      <c r="AJ51" s="163"/>
      <c r="AK51" s="48"/>
    </row>
    <row r="52" spans="1:37" s="5" customFormat="1" ht="26.25" customHeight="1" x14ac:dyDescent="0.2">
      <c r="A52" s="263">
        <v>4</v>
      </c>
      <c r="B52" s="263" t="s">
        <v>361</v>
      </c>
      <c r="C52" s="254" t="s">
        <v>275</v>
      </c>
      <c r="D52" s="264" t="s">
        <v>135</v>
      </c>
      <c r="E52" s="265"/>
      <c r="F52" s="265">
        <v>15</v>
      </c>
      <c r="G52" s="266">
        <v>105.33</v>
      </c>
      <c r="H52" s="267">
        <v>1580</v>
      </c>
      <c r="I52" s="162"/>
      <c r="J52" s="158"/>
      <c r="K52" s="158"/>
      <c r="L52" s="158"/>
      <c r="M52" s="158"/>
      <c r="N52" s="158"/>
      <c r="O52" s="156"/>
      <c r="P52" s="161"/>
      <c r="Q52" s="156"/>
      <c r="R52" s="156"/>
      <c r="S52" s="156"/>
      <c r="T52" s="156"/>
      <c r="U52" s="160"/>
      <c r="V52" s="156"/>
      <c r="W52" s="156"/>
      <c r="X52" s="156"/>
      <c r="Y52" s="156"/>
      <c r="Z52" s="156"/>
      <c r="AA52" s="159"/>
      <c r="AB52" s="156"/>
      <c r="AC52" s="156"/>
      <c r="AD52" s="156"/>
      <c r="AE52" s="158"/>
      <c r="AF52" s="158"/>
      <c r="AG52" s="157"/>
      <c r="AH52" s="156"/>
      <c r="AI52" s="156">
        <v>1800</v>
      </c>
      <c r="AJ52" s="156"/>
      <c r="AK52" s="48"/>
    </row>
    <row r="53" spans="1:37" s="5" customFormat="1" ht="38.25" x14ac:dyDescent="0.2">
      <c r="A53" s="263">
        <v>5</v>
      </c>
      <c r="B53" s="263" t="s">
        <v>361</v>
      </c>
      <c r="C53" s="254" t="s">
        <v>160</v>
      </c>
      <c r="D53" s="264" t="s">
        <v>158</v>
      </c>
      <c r="E53" s="265"/>
      <c r="F53" s="265">
        <v>15</v>
      </c>
      <c r="G53" s="266">
        <f>H53/F53</f>
        <v>80</v>
      </c>
      <c r="H53" s="267">
        <v>1200</v>
      </c>
      <c r="I53" s="162"/>
      <c r="J53" s="158"/>
      <c r="K53" s="158"/>
      <c r="L53" s="158"/>
      <c r="M53" s="158"/>
      <c r="N53" s="158"/>
      <c r="O53" s="156"/>
      <c r="P53" s="161"/>
      <c r="Q53" s="156"/>
      <c r="R53" s="156"/>
      <c r="S53" s="156"/>
      <c r="T53" s="156"/>
      <c r="U53" s="160"/>
      <c r="V53" s="156"/>
      <c r="W53" s="156"/>
      <c r="X53" s="156"/>
      <c r="Y53" s="156"/>
      <c r="Z53" s="156"/>
      <c r="AA53" s="159"/>
      <c r="AB53" s="156"/>
      <c r="AC53" s="156"/>
      <c r="AD53" s="156"/>
      <c r="AE53" s="158"/>
      <c r="AF53" s="158"/>
      <c r="AG53" s="157"/>
      <c r="AH53" s="156"/>
      <c r="AI53" s="156"/>
      <c r="AJ53" s="156"/>
      <c r="AK53" s="48"/>
    </row>
    <row r="54" spans="1:37" ht="26.25" customHeight="1" thickBot="1" x14ac:dyDescent="0.25">
      <c r="A54" s="447" t="s">
        <v>17</v>
      </c>
      <c r="B54" s="381"/>
      <c r="C54" s="381"/>
      <c r="D54" s="381"/>
      <c r="E54" s="381"/>
      <c r="F54" s="381"/>
      <c r="G54" s="62"/>
      <c r="H54" s="194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.5" thickTop="1" x14ac:dyDescent="0.2">
      <c r="A55" s="48"/>
      <c r="B55" s="48"/>
      <c r="C55" s="56"/>
      <c r="D55" s="56"/>
      <c r="E55" s="48"/>
      <c r="F55" s="48"/>
      <c r="G55" s="48"/>
      <c r="H55" s="190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">
      <c r="A56" s="48"/>
      <c r="B56" s="48"/>
      <c r="C56" s="56"/>
      <c r="D56" s="56"/>
      <c r="E56" s="48"/>
      <c r="F56" s="48"/>
      <c r="G56" s="48"/>
      <c r="H56" s="19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">
      <c r="A57" s="48"/>
      <c r="B57" s="48"/>
      <c r="C57" s="56"/>
      <c r="D57" s="56"/>
      <c r="E57" s="48"/>
      <c r="F57" s="48"/>
      <c r="G57" s="48"/>
      <c r="H57" s="19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.5" thickBot="1" x14ac:dyDescent="0.25">
      <c r="A58" s="59"/>
      <c r="B58" s="59"/>
      <c r="C58" s="60"/>
      <c r="D58" s="60"/>
      <c r="E58" s="48"/>
      <c r="F58" s="48"/>
      <c r="G58" s="48"/>
      <c r="H58" s="190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2">
      <c r="A59" s="432" t="s">
        <v>482</v>
      </c>
      <c r="B59" s="432"/>
      <c r="C59" s="432"/>
      <c r="D59" s="432"/>
      <c r="E59" s="48"/>
      <c r="F59" s="48"/>
      <c r="G59" s="48"/>
      <c r="H59" s="190"/>
      <c r="I59" s="448" t="s">
        <v>316</v>
      </c>
      <c r="J59" s="448"/>
      <c r="K59" s="448"/>
      <c r="L59" s="448"/>
      <c r="M59" s="448"/>
      <c r="N59" s="448"/>
      <c r="O59" s="448"/>
      <c r="P59" s="448"/>
      <c r="Q59" s="448"/>
      <c r="R59" s="448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8"/>
      <c r="AD59" s="448"/>
      <c r="AE59" s="448"/>
      <c r="AF59" s="448"/>
      <c r="AG59" s="448"/>
      <c r="AH59" s="448"/>
      <c r="AI59" s="448"/>
      <c r="AJ59" s="448"/>
      <c r="AK59" s="448"/>
    </row>
    <row r="60" spans="1:37" ht="20.25" customHeight="1" x14ac:dyDescent="0.2">
      <c r="A60" s="438" t="s">
        <v>133</v>
      </c>
      <c r="B60" s="438"/>
      <c r="C60" s="438"/>
      <c r="D60" s="438"/>
      <c r="E60" s="48"/>
      <c r="F60" s="48"/>
      <c r="G60" s="48"/>
      <c r="H60" s="190"/>
      <c r="I60" s="439" t="s">
        <v>102</v>
      </c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39"/>
      <c r="AA60" s="439"/>
      <c r="AB60" s="439"/>
      <c r="AC60" s="439"/>
      <c r="AD60" s="439"/>
      <c r="AE60" s="439"/>
      <c r="AF60" s="439"/>
      <c r="AG60" s="439"/>
      <c r="AH60" s="439"/>
      <c r="AI60" s="439"/>
      <c r="AJ60" s="439"/>
      <c r="AK60" s="439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55"/>
    </row>
    <row r="64" spans="1:37" ht="15.75" x14ac:dyDescent="0.25">
      <c r="C64" s="35"/>
      <c r="D64" s="36"/>
      <c r="E64" s="5"/>
      <c r="F64" s="5"/>
      <c r="G64" s="5"/>
      <c r="I64" s="5"/>
      <c r="J64" s="155"/>
    </row>
    <row r="65" spans="3:10" ht="15.75" x14ac:dyDescent="0.25">
      <c r="C65" s="35"/>
      <c r="D65" s="36"/>
      <c r="E65" s="5"/>
      <c r="F65" s="5"/>
      <c r="G65" s="5"/>
      <c r="I65" s="5"/>
      <c r="J65" s="155"/>
    </row>
    <row r="66" spans="3:10" ht="15.75" x14ac:dyDescent="0.25">
      <c r="C66" s="35"/>
      <c r="D66" s="36"/>
      <c r="E66" s="5"/>
      <c r="F66" s="5" t="s">
        <v>91</v>
      </c>
      <c r="G66" s="5" t="s">
        <v>91</v>
      </c>
      <c r="H66" s="195">
        <f>SUM(H49:H53)</f>
        <v>7727</v>
      </c>
      <c r="I66" s="5"/>
      <c r="J66" s="155"/>
    </row>
    <row r="69" spans="3:10" x14ac:dyDescent="0.2">
      <c r="F69" t="s">
        <v>312</v>
      </c>
      <c r="H69" s="195">
        <f>H66+H67:H67</f>
        <v>7727</v>
      </c>
    </row>
  </sheetData>
  <mergeCells count="20">
    <mergeCell ref="C3:I3"/>
    <mergeCell ref="A6:I6"/>
    <mergeCell ref="A7:A9"/>
    <mergeCell ref="C7:C9"/>
    <mergeCell ref="D7:D9"/>
    <mergeCell ref="H7:H9"/>
    <mergeCell ref="I7:I9"/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2"/>
  <sheetViews>
    <sheetView showGridLines="0" zoomScale="84" zoomScaleNormal="84" workbookViewId="0">
      <selection activeCell="F8" sqref="F8:F36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7" bestFit="1" customWidth="1"/>
    <col min="5" max="5" width="14.42578125" style="78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48" customWidth="1"/>
    <col min="11" max="11" width="11.5703125" style="25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5"/>
  </cols>
  <sheetData>
    <row r="1" spans="1:14" x14ac:dyDescent="0.2">
      <c r="B1" s="270"/>
      <c r="C1" s="318"/>
      <c r="D1" s="129"/>
      <c r="E1" s="130"/>
      <c r="F1" s="131"/>
      <c r="G1" s="131"/>
      <c r="H1" s="131"/>
      <c r="I1" s="131"/>
      <c r="J1" s="319"/>
      <c r="K1" s="131"/>
      <c r="L1" s="131"/>
      <c r="M1" s="131"/>
      <c r="N1" s="132"/>
    </row>
    <row r="2" spans="1:14" ht="36" customHeight="1" x14ac:dyDescent="0.2">
      <c r="B2" s="320"/>
      <c r="C2" s="321"/>
      <c r="E2" s="384" t="s">
        <v>308</v>
      </c>
      <c r="F2" s="384"/>
      <c r="G2" s="384"/>
      <c r="H2" s="384"/>
      <c r="I2" s="384"/>
      <c r="J2" s="384"/>
      <c r="K2" s="384"/>
      <c r="L2" s="134"/>
      <c r="M2" s="134"/>
      <c r="N2" s="135"/>
    </row>
    <row r="3" spans="1:14" x14ac:dyDescent="0.2">
      <c r="B3" s="320"/>
      <c r="C3" s="321"/>
      <c r="E3" s="136"/>
      <c r="F3" s="134"/>
      <c r="G3" s="134"/>
      <c r="H3" s="134"/>
      <c r="I3" s="134"/>
      <c r="J3" s="322"/>
      <c r="K3" s="134"/>
      <c r="L3" s="134"/>
      <c r="M3" s="134"/>
      <c r="N3" s="135"/>
    </row>
    <row r="4" spans="1:14" x14ac:dyDescent="0.2">
      <c r="B4" s="320"/>
      <c r="C4" s="321"/>
      <c r="E4" s="136"/>
      <c r="F4" s="134"/>
      <c r="G4" s="134"/>
      <c r="H4" s="134"/>
      <c r="I4" s="134"/>
      <c r="J4" s="322"/>
      <c r="K4" s="134"/>
      <c r="L4" s="134"/>
      <c r="M4" s="134"/>
      <c r="N4" s="135"/>
    </row>
    <row r="5" spans="1:14" ht="28.5" customHeight="1" x14ac:dyDescent="0.2">
      <c r="B5" s="137"/>
      <c r="C5" s="39"/>
      <c r="E5" s="384" t="s">
        <v>411</v>
      </c>
      <c r="F5" s="384"/>
      <c r="G5" s="384"/>
      <c r="H5" s="384"/>
      <c r="I5" s="384"/>
      <c r="J5" s="384"/>
      <c r="K5" s="384"/>
      <c r="L5" s="386"/>
      <c r="M5" s="386"/>
      <c r="N5" s="387"/>
    </row>
    <row r="6" spans="1:14" ht="31.5" customHeight="1" thickBot="1" x14ac:dyDescent="0.25">
      <c r="B6" s="138"/>
      <c r="C6" s="39"/>
      <c r="D6" s="457" t="s">
        <v>489</v>
      </c>
      <c r="E6" s="457"/>
      <c r="F6" s="457"/>
      <c r="G6" s="457"/>
      <c r="H6" s="457"/>
      <c r="I6" s="457"/>
      <c r="J6" s="457"/>
      <c r="K6" s="457"/>
      <c r="L6" s="139"/>
      <c r="M6" s="139"/>
      <c r="N6" s="140"/>
    </row>
    <row r="7" spans="1:14" s="29" customFormat="1" ht="37.5" customHeight="1" x14ac:dyDescent="0.2">
      <c r="A7" s="5"/>
      <c r="B7" s="103" t="s">
        <v>301</v>
      </c>
      <c r="C7" s="207" t="s">
        <v>361</v>
      </c>
      <c r="D7" s="104" t="s">
        <v>14</v>
      </c>
      <c r="E7" s="104" t="s">
        <v>295</v>
      </c>
      <c r="F7" s="104" t="s">
        <v>296</v>
      </c>
      <c r="G7" s="104" t="s">
        <v>299</v>
      </c>
      <c r="H7" s="104" t="s">
        <v>300</v>
      </c>
      <c r="I7" s="105" t="s">
        <v>297</v>
      </c>
      <c r="J7" s="323" t="s">
        <v>313</v>
      </c>
      <c r="K7" s="104" t="s">
        <v>314</v>
      </c>
      <c r="L7" s="106" t="s">
        <v>298</v>
      </c>
      <c r="M7" s="106" t="s">
        <v>307</v>
      </c>
      <c r="N7" s="121" t="s">
        <v>306</v>
      </c>
    </row>
    <row r="8" spans="1:14" s="29" customFormat="1" ht="30" customHeight="1" x14ac:dyDescent="0.2">
      <c r="A8" s="5"/>
      <c r="B8" s="324">
        <v>1</v>
      </c>
      <c r="C8" s="325" t="s">
        <v>361</v>
      </c>
      <c r="D8" s="326" t="s">
        <v>412</v>
      </c>
      <c r="E8" s="95" t="s">
        <v>35</v>
      </c>
      <c r="F8" s="361"/>
      <c r="G8" s="72">
        <v>15</v>
      </c>
      <c r="H8" s="327">
        <v>638.06640000000004</v>
      </c>
      <c r="I8" s="328">
        <f>ROUND(G8*H8,2)</f>
        <v>9571</v>
      </c>
      <c r="J8" s="359">
        <f t="shared" ref="J8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360">
        <f t="shared" ref="K8:K36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29">
        <f>K8</f>
        <v>1221.3399999999999</v>
      </c>
      <c r="M8" s="329">
        <f>I8+J8-L8</f>
        <v>8349.66</v>
      </c>
      <c r="N8" s="330"/>
    </row>
    <row r="9" spans="1:14" s="29" customFormat="1" ht="30" customHeight="1" x14ac:dyDescent="0.2">
      <c r="A9" s="5"/>
      <c r="B9" s="324">
        <v>2</v>
      </c>
      <c r="C9" s="325"/>
      <c r="D9" s="326" t="s">
        <v>413</v>
      </c>
      <c r="E9" s="95" t="s">
        <v>414</v>
      </c>
      <c r="F9" s="361"/>
      <c r="G9" s="72">
        <v>15</v>
      </c>
      <c r="H9" s="327">
        <v>471.46640000000002</v>
      </c>
      <c r="I9" s="328">
        <f t="shared" ref="I9:I36" si="2">ROUND(G9*H9,2)</f>
        <v>7072</v>
      </c>
      <c r="J9" s="359">
        <f t="shared" ref="J9:J13" si="3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360">
        <f t="shared" si="1"/>
        <v>707.16</v>
      </c>
      <c r="L9" s="329">
        <f t="shared" ref="L9:L36" si="4">K9</f>
        <v>707.16</v>
      </c>
      <c r="M9" s="329">
        <f t="shared" ref="M9:M36" si="5">I9+J9-L9</f>
        <v>6364.84</v>
      </c>
      <c r="N9" s="330"/>
    </row>
    <row r="10" spans="1:14" s="29" customFormat="1" ht="30" customHeight="1" x14ac:dyDescent="0.2">
      <c r="A10" s="5"/>
      <c r="B10" s="324">
        <v>3</v>
      </c>
      <c r="C10" s="325"/>
      <c r="D10" s="326" t="s">
        <v>415</v>
      </c>
      <c r="E10" s="95" t="s">
        <v>416</v>
      </c>
      <c r="F10" s="361"/>
      <c r="G10" s="72">
        <v>15</v>
      </c>
      <c r="H10" s="327">
        <v>340</v>
      </c>
      <c r="I10" s="328">
        <f t="shared" si="2"/>
        <v>5100</v>
      </c>
      <c r="J10" s="359">
        <f t="shared" si="3"/>
        <v>0</v>
      </c>
      <c r="K10" s="360">
        <f t="shared" si="1"/>
        <v>398.42</v>
      </c>
      <c r="L10" s="329">
        <f t="shared" si="4"/>
        <v>398.42</v>
      </c>
      <c r="M10" s="329">
        <f t="shared" si="5"/>
        <v>4701.58</v>
      </c>
      <c r="N10" s="330"/>
    </row>
    <row r="11" spans="1:14" s="29" customFormat="1" ht="30" customHeight="1" x14ac:dyDescent="0.2">
      <c r="A11" s="5"/>
      <c r="B11" s="324">
        <v>4</v>
      </c>
      <c r="C11" s="325" t="s">
        <v>361</v>
      </c>
      <c r="D11" s="326" t="s">
        <v>417</v>
      </c>
      <c r="E11" s="95" t="s">
        <v>418</v>
      </c>
      <c r="F11" s="361"/>
      <c r="G11" s="72">
        <v>15</v>
      </c>
      <c r="H11" s="327">
        <v>393.733</v>
      </c>
      <c r="I11" s="328">
        <f t="shared" si="2"/>
        <v>5906</v>
      </c>
      <c r="J11" s="359">
        <f t="shared" si="3"/>
        <v>0</v>
      </c>
      <c r="K11" s="360">
        <f t="shared" si="1"/>
        <v>507.37</v>
      </c>
      <c r="L11" s="329">
        <f t="shared" si="4"/>
        <v>507.37</v>
      </c>
      <c r="M11" s="329">
        <f t="shared" si="5"/>
        <v>5398.63</v>
      </c>
      <c r="N11" s="330"/>
    </row>
    <row r="12" spans="1:14" s="29" customFormat="1" ht="30" customHeight="1" x14ac:dyDescent="0.2">
      <c r="A12" s="5"/>
      <c r="B12" s="324">
        <v>5</v>
      </c>
      <c r="C12" s="325"/>
      <c r="D12" s="326" t="s">
        <v>419</v>
      </c>
      <c r="E12" s="95" t="s">
        <v>418</v>
      </c>
      <c r="F12" s="361"/>
      <c r="G12" s="72">
        <v>15</v>
      </c>
      <c r="H12" s="327">
        <v>393.733</v>
      </c>
      <c r="I12" s="328">
        <f t="shared" si="2"/>
        <v>5906</v>
      </c>
      <c r="J12" s="359">
        <f t="shared" si="3"/>
        <v>0</v>
      </c>
      <c r="K12" s="360">
        <f t="shared" si="1"/>
        <v>507.37</v>
      </c>
      <c r="L12" s="329">
        <f t="shared" si="4"/>
        <v>507.37</v>
      </c>
      <c r="M12" s="329">
        <f t="shared" si="5"/>
        <v>5398.63</v>
      </c>
      <c r="N12" s="330"/>
    </row>
    <row r="13" spans="1:14" s="29" customFormat="1" ht="30" customHeight="1" x14ac:dyDescent="0.2">
      <c r="A13" s="5"/>
      <c r="B13" s="324">
        <v>6</v>
      </c>
      <c r="C13" s="325"/>
      <c r="D13" s="326" t="s">
        <v>420</v>
      </c>
      <c r="E13" s="95" t="s">
        <v>416</v>
      </c>
      <c r="F13" s="361"/>
      <c r="G13" s="72">
        <v>15</v>
      </c>
      <c r="H13" s="327">
        <v>340</v>
      </c>
      <c r="I13" s="328">
        <f t="shared" si="2"/>
        <v>5100</v>
      </c>
      <c r="J13" s="359">
        <f t="shared" si="3"/>
        <v>0</v>
      </c>
      <c r="K13" s="360">
        <f t="shared" si="1"/>
        <v>398.42</v>
      </c>
      <c r="L13" s="329">
        <f t="shared" si="4"/>
        <v>398.42</v>
      </c>
      <c r="M13" s="329">
        <f t="shared" si="5"/>
        <v>4701.58</v>
      </c>
      <c r="N13" s="330"/>
    </row>
    <row r="14" spans="1:14" s="84" customFormat="1" ht="30" customHeight="1" x14ac:dyDescent="0.2">
      <c r="A14" s="5"/>
      <c r="B14" s="324">
        <v>7</v>
      </c>
      <c r="C14" s="325" t="s">
        <v>361</v>
      </c>
      <c r="D14" s="326" t="s">
        <v>421</v>
      </c>
      <c r="E14" s="95" t="s">
        <v>416</v>
      </c>
      <c r="F14" s="361"/>
      <c r="G14" s="72">
        <v>15</v>
      </c>
      <c r="H14" s="327">
        <v>340</v>
      </c>
      <c r="I14" s="328">
        <f t="shared" si="2"/>
        <v>5100</v>
      </c>
      <c r="J14" s="359">
        <f t="shared" ref="J14:J24" si="6"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360">
        <f t="shared" si="1"/>
        <v>398.42</v>
      </c>
      <c r="L14" s="329">
        <f t="shared" si="4"/>
        <v>398.42</v>
      </c>
      <c r="M14" s="329">
        <f t="shared" si="5"/>
        <v>4701.58</v>
      </c>
      <c r="N14" s="330"/>
    </row>
    <row r="15" spans="1:14" ht="30" customHeight="1" x14ac:dyDescent="0.2">
      <c r="B15" s="324">
        <v>8</v>
      </c>
      <c r="C15" s="325" t="s">
        <v>361</v>
      </c>
      <c r="D15" s="326" t="s">
        <v>422</v>
      </c>
      <c r="E15" s="95" t="s">
        <v>416</v>
      </c>
      <c r="F15" s="361"/>
      <c r="G15" s="72">
        <v>15</v>
      </c>
      <c r="H15" s="327">
        <v>340</v>
      </c>
      <c r="I15" s="328">
        <f t="shared" si="2"/>
        <v>5100</v>
      </c>
      <c r="J15" s="359">
        <f t="shared" si="6"/>
        <v>0</v>
      </c>
      <c r="K15" s="360">
        <f t="shared" si="1"/>
        <v>398.42</v>
      </c>
      <c r="L15" s="329">
        <f t="shared" si="4"/>
        <v>398.42</v>
      </c>
      <c r="M15" s="329">
        <f t="shared" si="5"/>
        <v>4701.58</v>
      </c>
      <c r="N15" s="330"/>
    </row>
    <row r="16" spans="1:14" s="29" customFormat="1" ht="30" customHeight="1" x14ac:dyDescent="0.2">
      <c r="A16" s="5"/>
      <c r="B16" s="324">
        <v>9</v>
      </c>
      <c r="C16" s="325"/>
      <c r="D16" s="326" t="s">
        <v>423</v>
      </c>
      <c r="E16" s="95" t="s">
        <v>416</v>
      </c>
      <c r="F16" s="361"/>
      <c r="G16" s="72">
        <v>15</v>
      </c>
      <c r="H16" s="327">
        <v>340</v>
      </c>
      <c r="I16" s="328">
        <f t="shared" si="2"/>
        <v>5100</v>
      </c>
      <c r="J16" s="359">
        <f t="shared" si="6"/>
        <v>0</v>
      </c>
      <c r="K16" s="360">
        <f t="shared" si="1"/>
        <v>398.42</v>
      </c>
      <c r="L16" s="329">
        <f t="shared" si="4"/>
        <v>398.42</v>
      </c>
      <c r="M16" s="329">
        <f t="shared" si="5"/>
        <v>4701.58</v>
      </c>
      <c r="N16" s="330"/>
    </row>
    <row r="17" spans="1:14" s="29" customFormat="1" ht="30" customHeight="1" x14ac:dyDescent="0.2">
      <c r="A17" s="5"/>
      <c r="B17" s="324">
        <v>10</v>
      </c>
      <c r="C17" s="325" t="s">
        <v>361</v>
      </c>
      <c r="D17" s="326" t="s">
        <v>424</v>
      </c>
      <c r="E17" s="95" t="s">
        <v>425</v>
      </c>
      <c r="F17" s="362"/>
      <c r="G17" s="64">
        <v>15</v>
      </c>
      <c r="H17" s="331">
        <v>220.8664</v>
      </c>
      <c r="I17" s="328">
        <f t="shared" si="2"/>
        <v>3313</v>
      </c>
      <c r="J17" s="359">
        <f t="shared" si="6"/>
        <v>0</v>
      </c>
      <c r="K17" s="360">
        <f t="shared" si="1"/>
        <v>0</v>
      </c>
      <c r="L17" s="329">
        <f t="shared" si="4"/>
        <v>0</v>
      </c>
      <c r="M17" s="329">
        <f t="shared" si="5"/>
        <v>3313</v>
      </c>
      <c r="N17" s="330"/>
    </row>
    <row r="18" spans="1:14" s="29" customFormat="1" ht="30" customHeight="1" x14ac:dyDescent="0.2">
      <c r="A18" s="5"/>
      <c r="B18" s="324">
        <v>11</v>
      </c>
      <c r="C18" s="325"/>
      <c r="D18" s="326" t="s">
        <v>426</v>
      </c>
      <c r="E18" s="95" t="s">
        <v>427</v>
      </c>
      <c r="F18" s="72"/>
      <c r="G18" s="72">
        <v>15</v>
      </c>
      <c r="H18" s="327">
        <v>340</v>
      </c>
      <c r="I18" s="328">
        <f t="shared" si="2"/>
        <v>5100</v>
      </c>
      <c r="J18" s="359">
        <f t="shared" si="6"/>
        <v>0</v>
      </c>
      <c r="K18" s="360">
        <f t="shared" si="1"/>
        <v>398.42</v>
      </c>
      <c r="L18" s="329">
        <f t="shared" si="4"/>
        <v>398.42</v>
      </c>
      <c r="M18" s="329">
        <f t="shared" si="5"/>
        <v>4701.58</v>
      </c>
      <c r="N18" s="330"/>
    </row>
    <row r="19" spans="1:14" s="29" customFormat="1" ht="30" customHeight="1" x14ac:dyDescent="0.2">
      <c r="A19" s="5"/>
      <c r="B19" s="324">
        <v>12</v>
      </c>
      <c r="C19" s="325" t="s">
        <v>361</v>
      </c>
      <c r="D19" s="326" t="s">
        <v>428</v>
      </c>
      <c r="E19" s="95" t="s">
        <v>416</v>
      </c>
      <c r="F19" s="72"/>
      <c r="G19" s="72">
        <v>15</v>
      </c>
      <c r="H19" s="327">
        <v>340</v>
      </c>
      <c r="I19" s="328">
        <f t="shared" si="2"/>
        <v>5100</v>
      </c>
      <c r="J19" s="359">
        <f t="shared" si="6"/>
        <v>0</v>
      </c>
      <c r="K19" s="360">
        <f t="shared" si="1"/>
        <v>398.42</v>
      </c>
      <c r="L19" s="329">
        <f t="shared" si="4"/>
        <v>398.42</v>
      </c>
      <c r="M19" s="329">
        <f t="shared" si="5"/>
        <v>4701.58</v>
      </c>
      <c r="N19" s="330"/>
    </row>
    <row r="20" spans="1:14" ht="30" customHeight="1" x14ac:dyDescent="0.2">
      <c r="A20" s="79"/>
      <c r="B20" s="324">
        <v>13</v>
      </c>
      <c r="C20" s="325" t="s">
        <v>361</v>
      </c>
      <c r="D20" s="213" t="s">
        <v>429</v>
      </c>
      <c r="E20" s="95" t="s">
        <v>416</v>
      </c>
      <c r="F20" s="361"/>
      <c r="G20" s="72">
        <v>15</v>
      </c>
      <c r="H20" s="327">
        <v>340</v>
      </c>
      <c r="I20" s="328">
        <f t="shared" si="2"/>
        <v>5100</v>
      </c>
      <c r="J20" s="359">
        <f t="shared" si="6"/>
        <v>0</v>
      </c>
      <c r="K20" s="360">
        <f t="shared" si="1"/>
        <v>398.42</v>
      </c>
      <c r="L20" s="329">
        <f t="shared" si="4"/>
        <v>398.42</v>
      </c>
      <c r="M20" s="329">
        <f t="shared" si="5"/>
        <v>4701.58</v>
      </c>
      <c r="N20" s="330"/>
    </row>
    <row r="21" spans="1:14" ht="30" customHeight="1" x14ac:dyDescent="0.2">
      <c r="B21" s="324">
        <v>14</v>
      </c>
      <c r="C21" s="325"/>
      <c r="D21" s="332" t="s">
        <v>430</v>
      </c>
      <c r="E21" s="95" t="s">
        <v>416</v>
      </c>
      <c r="F21" s="361"/>
      <c r="G21" s="72">
        <v>15</v>
      </c>
      <c r="H21" s="327">
        <v>340</v>
      </c>
      <c r="I21" s="328">
        <f t="shared" si="2"/>
        <v>5100</v>
      </c>
      <c r="J21" s="359">
        <f t="shared" si="6"/>
        <v>0</v>
      </c>
      <c r="K21" s="360">
        <f t="shared" si="1"/>
        <v>398.42</v>
      </c>
      <c r="L21" s="329">
        <f t="shared" si="4"/>
        <v>398.42</v>
      </c>
      <c r="M21" s="329">
        <f t="shared" si="5"/>
        <v>4701.58</v>
      </c>
      <c r="N21" s="330"/>
    </row>
    <row r="22" spans="1:14" ht="30" customHeight="1" x14ac:dyDescent="0.2">
      <c r="B22" s="324">
        <v>15</v>
      </c>
      <c r="C22" s="325" t="s">
        <v>361</v>
      </c>
      <c r="D22" s="332" t="s">
        <v>479</v>
      </c>
      <c r="E22" s="95" t="s">
        <v>416</v>
      </c>
      <c r="F22" s="361"/>
      <c r="G22" s="72">
        <v>15</v>
      </c>
      <c r="H22" s="327">
        <v>340</v>
      </c>
      <c r="I22" s="328">
        <f t="shared" si="2"/>
        <v>5100</v>
      </c>
      <c r="J22" s="359">
        <f t="shared" si="6"/>
        <v>0</v>
      </c>
      <c r="K22" s="360">
        <f t="shared" si="1"/>
        <v>398.42</v>
      </c>
      <c r="L22" s="329">
        <f t="shared" si="4"/>
        <v>398.42</v>
      </c>
      <c r="M22" s="329">
        <f t="shared" si="5"/>
        <v>4701.58</v>
      </c>
      <c r="N22" s="330"/>
    </row>
    <row r="23" spans="1:14" ht="30" customHeight="1" x14ac:dyDescent="0.2">
      <c r="B23" s="324">
        <v>16</v>
      </c>
      <c r="C23" s="325" t="s">
        <v>361</v>
      </c>
      <c r="D23" s="332" t="s">
        <v>431</v>
      </c>
      <c r="E23" s="95" t="s">
        <v>416</v>
      </c>
      <c r="F23" s="361"/>
      <c r="G23" s="72">
        <v>15</v>
      </c>
      <c r="H23" s="327">
        <v>340</v>
      </c>
      <c r="I23" s="328">
        <f t="shared" si="2"/>
        <v>5100</v>
      </c>
      <c r="J23" s="359">
        <f t="shared" si="6"/>
        <v>0</v>
      </c>
      <c r="K23" s="360">
        <f t="shared" si="1"/>
        <v>398.42</v>
      </c>
      <c r="L23" s="329">
        <f t="shared" si="4"/>
        <v>398.42</v>
      </c>
      <c r="M23" s="329">
        <f t="shared" si="5"/>
        <v>4701.58</v>
      </c>
      <c r="N23" s="330"/>
    </row>
    <row r="24" spans="1:14" ht="30" customHeight="1" x14ac:dyDescent="0.2">
      <c r="B24" s="324">
        <v>17</v>
      </c>
      <c r="C24" s="325"/>
      <c r="D24" s="219" t="s">
        <v>432</v>
      </c>
      <c r="E24" s="254" t="s">
        <v>416</v>
      </c>
      <c r="F24" s="38"/>
      <c r="G24" s="245">
        <v>15</v>
      </c>
      <c r="H24" s="327">
        <v>340</v>
      </c>
      <c r="I24" s="328">
        <f t="shared" si="2"/>
        <v>5100</v>
      </c>
      <c r="J24" s="359">
        <f t="shared" si="6"/>
        <v>0</v>
      </c>
      <c r="K24" s="360">
        <f t="shared" si="1"/>
        <v>398.42</v>
      </c>
      <c r="L24" s="329">
        <f t="shared" si="4"/>
        <v>398.42</v>
      </c>
      <c r="M24" s="329">
        <f t="shared" si="5"/>
        <v>4701.58</v>
      </c>
      <c r="N24" s="330"/>
    </row>
    <row r="25" spans="1:14" ht="30" customHeight="1" x14ac:dyDescent="0.2">
      <c r="B25" s="324">
        <v>18</v>
      </c>
      <c r="C25" s="325"/>
      <c r="D25" s="332" t="s">
        <v>433</v>
      </c>
      <c r="E25" s="95" t="s">
        <v>416</v>
      </c>
      <c r="F25" s="361"/>
      <c r="G25" s="72">
        <v>15</v>
      </c>
      <c r="H25" s="327">
        <v>340</v>
      </c>
      <c r="I25" s="328">
        <f t="shared" si="2"/>
        <v>5100</v>
      </c>
      <c r="J25" s="359">
        <f t="shared" ref="J25:J36" si="7"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360">
        <f t="shared" si="1"/>
        <v>398.42</v>
      </c>
      <c r="L25" s="329">
        <f t="shared" si="4"/>
        <v>398.42</v>
      </c>
      <c r="M25" s="329">
        <f t="shared" si="5"/>
        <v>4701.58</v>
      </c>
      <c r="N25" s="330"/>
    </row>
    <row r="26" spans="1:14" ht="30" customHeight="1" x14ac:dyDescent="0.2">
      <c r="B26" s="324">
        <v>19</v>
      </c>
      <c r="C26" s="325"/>
      <c r="D26" s="332" t="s">
        <v>434</v>
      </c>
      <c r="E26" s="95" t="s">
        <v>416</v>
      </c>
      <c r="F26" s="361"/>
      <c r="G26" s="72">
        <v>15</v>
      </c>
      <c r="H26" s="327">
        <v>340</v>
      </c>
      <c r="I26" s="328">
        <f t="shared" si="2"/>
        <v>5100</v>
      </c>
      <c r="J26" s="359">
        <f t="shared" si="7"/>
        <v>0</v>
      </c>
      <c r="K26" s="360">
        <f t="shared" si="1"/>
        <v>398.42</v>
      </c>
      <c r="L26" s="329">
        <f t="shared" si="4"/>
        <v>398.42</v>
      </c>
      <c r="M26" s="329">
        <f t="shared" si="5"/>
        <v>4701.58</v>
      </c>
      <c r="N26" s="330"/>
    </row>
    <row r="27" spans="1:14" s="29" customFormat="1" ht="30" customHeight="1" x14ac:dyDescent="0.2">
      <c r="A27" s="5"/>
      <c r="B27" s="324">
        <v>20</v>
      </c>
      <c r="C27" s="325" t="s">
        <v>361</v>
      </c>
      <c r="D27" s="326" t="s">
        <v>435</v>
      </c>
      <c r="E27" s="95" t="s">
        <v>416</v>
      </c>
      <c r="F27" s="361"/>
      <c r="G27" s="72">
        <v>15</v>
      </c>
      <c r="H27" s="327">
        <v>340</v>
      </c>
      <c r="I27" s="328">
        <f t="shared" si="2"/>
        <v>5100</v>
      </c>
      <c r="J27" s="359">
        <f t="shared" si="7"/>
        <v>0</v>
      </c>
      <c r="K27" s="360">
        <f t="shared" si="1"/>
        <v>398.42</v>
      </c>
      <c r="L27" s="329">
        <f t="shared" si="4"/>
        <v>398.42</v>
      </c>
      <c r="M27" s="329">
        <f t="shared" si="5"/>
        <v>4701.58</v>
      </c>
      <c r="N27" s="330"/>
    </row>
    <row r="28" spans="1:14" s="29" customFormat="1" ht="30" customHeight="1" x14ac:dyDescent="0.2">
      <c r="A28" s="5"/>
      <c r="B28" s="324">
        <v>21</v>
      </c>
      <c r="C28" s="325" t="s">
        <v>361</v>
      </c>
      <c r="D28" s="326" t="s">
        <v>436</v>
      </c>
      <c r="E28" s="95" t="s">
        <v>416</v>
      </c>
      <c r="F28" s="361"/>
      <c r="G28" s="72">
        <v>15</v>
      </c>
      <c r="H28" s="327">
        <v>340</v>
      </c>
      <c r="I28" s="328">
        <f t="shared" si="2"/>
        <v>5100</v>
      </c>
      <c r="J28" s="359">
        <f t="shared" si="7"/>
        <v>0</v>
      </c>
      <c r="K28" s="360">
        <f t="shared" si="1"/>
        <v>398.42</v>
      </c>
      <c r="L28" s="329">
        <f t="shared" si="4"/>
        <v>398.42</v>
      </c>
      <c r="M28" s="329">
        <f t="shared" si="5"/>
        <v>4701.58</v>
      </c>
      <c r="N28" s="330"/>
    </row>
    <row r="29" spans="1:14" s="29" customFormat="1" ht="30" customHeight="1" x14ac:dyDescent="0.2">
      <c r="A29" s="5"/>
      <c r="B29" s="324">
        <v>22</v>
      </c>
      <c r="C29" s="325" t="s">
        <v>361</v>
      </c>
      <c r="D29" s="326" t="s">
        <v>437</v>
      </c>
      <c r="E29" s="95" t="s">
        <v>416</v>
      </c>
      <c r="F29" s="361"/>
      <c r="G29" s="72">
        <v>15</v>
      </c>
      <c r="H29" s="327">
        <v>340</v>
      </c>
      <c r="I29" s="328">
        <f t="shared" si="2"/>
        <v>5100</v>
      </c>
      <c r="J29" s="359">
        <f t="shared" si="7"/>
        <v>0</v>
      </c>
      <c r="K29" s="360">
        <f t="shared" si="1"/>
        <v>398.42</v>
      </c>
      <c r="L29" s="329">
        <f t="shared" si="4"/>
        <v>398.42</v>
      </c>
      <c r="M29" s="329">
        <f t="shared" si="5"/>
        <v>4701.58</v>
      </c>
      <c r="N29" s="330"/>
    </row>
    <row r="30" spans="1:14" s="29" customFormat="1" ht="30" customHeight="1" x14ac:dyDescent="0.2">
      <c r="A30" s="5"/>
      <c r="B30" s="324">
        <v>23</v>
      </c>
      <c r="C30" s="325" t="s">
        <v>361</v>
      </c>
      <c r="D30" s="326" t="s">
        <v>438</v>
      </c>
      <c r="E30" s="95" t="s">
        <v>416</v>
      </c>
      <c r="F30" s="361"/>
      <c r="G30" s="72">
        <v>15</v>
      </c>
      <c r="H30" s="327">
        <v>340</v>
      </c>
      <c r="I30" s="328">
        <f t="shared" si="2"/>
        <v>5100</v>
      </c>
      <c r="J30" s="359">
        <f t="shared" si="7"/>
        <v>0</v>
      </c>
      <c r="K30" s="360">
        <f t="shared" si="1"/>
        <v>398.42</v>
      </c>
      <c r="L30" s="329">
        <f t="shared" si="4"/>
        <v>398.42</v>
      </c>
      <c r="M30" s="329">
        <f t="shared" si="5"/>
        <v>4701.58</v>
      </c>
      <c r="N30" s="330"/>
    </row>
    <row r="31" spans="1:14" s="29" customFormat="1" ht="30" customHeight="1" x14ac:dyDescent="0.2">
      <c r="A31" s="5"/>
      <c r="B31" s="324">
        <v>24</v>
      </c>
      <c r="C31" s="325"/>
      <c r="D31" s="326" t="s">
        <v>439</v>
      </c>
      <c r="E31" s="95" t="s">
        <v>416</v>
      </c>
      <c r="F31" s="361"/>
      <c r="G31" s="72">
        <v>15</v>
      </c>
      <c r="H31" s="327">
        <v>340</v>
      </c>
      <c r="I31" s="328">
        <f t="shared" si="2"/>
        <v>5100</v>
      </c>
      <c r="J31" s="359">
        <f t="shared" si="7"/>
        <v>0</v>
      </c>
      <c r="K31" s="360">
        <f t="shared" si="1"/>
        <v>398.42</v>
      </c>
      <c r="L31" s="329">
        <f t="shared" si="4"/>
        <v>398.42</v>
      </c>
      <c r="M31" s="329">
        <f t="shared" si="5"/>
        <v>4701.58</v>
      </c>
      <c r="N31" s="330"/>
    </row>
    <row r="32" spans="1:14" s="29" customFormat="1" ht="30" customHeight="1" x14ac:dyDescent="0.2">
      <c r="A32" s="5"/>
      <c r="B32" s="324">
        <v>25</v>
      </c>
      <c r="C32" s="325" t="s">
        <v>361</v>
      </c>
      <c r="D32" s="326" t="s">
        <v>440</v>
      </c>
      <c r="E32" s="95" t="s">
        <v>416</v>
      </c>
      <c r="F32" s="361"/>
      <c r="G32" s="72">
        <v>15</v>
      </c>
      <c r="H32" s="327">
        <v>340</v>
      </c>
      <c r="I32" s="328">
        <f t="shared" si="2"/>
        <v>5100</v>
      </c>
      <c r="J32" s="359">
        <f t="shared" si="7"/>
        <v>0</v>
      </c>
      <c r="K32" s="360">
        <f t="shared" si="1"/>
        <v>398.42</v>
      </c>
      <c r="L32" s="329">
        <f t="shared" si="4"/>
        <v>398.42</v>
      </c>
      <c r="M32" s="329">
        <f t="shared" si="5"/>
        <v>4701.58</v>
      </c>
      <c r="N32" s="330"/>
    </row>
    <row r="33" spans="1:16" s="29" customFormat="1" ht="30" customHeight="1" x14ac:dyDescent="0.2">
      <c r="A33" s="5"/>
      <c r="B33" s="324">
        <v>26</v>
      </c>
      <c r="C33" s="325" t="s">
        <v>361</v>
      </c>
      <c r="D33" s="326" t="s">
        <v>441</v>
      </c>
      <c r="E33" s="95" t="s">
        <v>416</v>
      </c>
      <c r="F33" s="361"/>
      <c r="G33" s="72">
        <v>15</v>
      </c>
      <c r="H33" s="327">
        <v>340</v>
      </c>
      <c r="I33" s="328">
        <f t="shared" si="2"/>
        <v>5100</v>
      </c>
      <c r="J33" s="359">
        <f t="shared" si="7"/>
        <v>0</v>
      </c>
      <c r="K33" s="360">
        <f t="shared" si="1"/>
        <v>398.42</v>
      </c>
      <c r="L33" s="329">
        <f t="shared" si="4"/>
        <v>398.42</v>
      </c>
      <c r="M33" s="329">
        <f t="shared" si="5"/>
        <v>4701.58</v>
      </c>
      <c r="N33" s="330"/>
    </row>
    <row r="34" spans="1:16" s="29" customFormat="1" ht="30" customHeight="1" x14ac:dyDescent="0.2">
      <c r="A34" s="5"/>
      <c r="B34" s="324">
        <v>27</v>
      </c>
      <c r="C34" s="325" t="s">
        <v>361</v>
      </c>
      <c r="D34" s="326" t="s">
        <v>487</v>
      </c>
      <c r="E34" s="95" t="s">
        <v>416</v>
      </c>
      <c r="F34" s="361"/>
      <c r="G34" s="72">
        <v>15</v>
      </c>
      <c r="H34" s="327">
        <v>340</v>
      </c>
      <c r="I34" s="328">
        <f t="shared" ref="I34" si="8">ROUND(G34*H34,2)</f>
        <v>5100</v>
      </c>
      <c r="J34" s="359">
        <f t="shared" ref="J34" si="9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360">
        <f t="shared" ref="K34" si="10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329">
        <f t="shared" ref="L34" si="11">K34</f>
        <v>398.42</v>
      </c>
      <c r="M34" s="329">
        <f t="shared" ref="M34" si="12">I34+J34-L34</f>
        <v>4701.58</v>
      </c>
      <c r="N34" s="330"/>
    </row>
    <row r="35" spans="1:16" s="29" customFormat="1" ht="30" customHeight="1" x14ac:dyDescent="0.2">
      <c r="A35" s="5"/>
      <c r="B35" s="324">
        <v>28</v>
      </c>
      <c r="C35" s="325" t="s">
        <v>361</v>
      </c>
      <c r="D35" s="326" t="s">
        <v>442</v>
      </c>
      <c r="E35" s="95" t="s">
        <v>416</v>
      </c>
      <c r="F35" s="361"/>
      <c r="G35" s="72">
        <v>13</v>
      </c>
      <c r="H35" s="327">
        <v>340</v>
      </c>
      <c r="I35" s="328">
        <f t="shared" si="2"/>
        <v>4420</v>
      </c>
      <c r="J35" s="359">
        <f t="shared" si="7"/>
        <v>0</v>
      </c>
      <c r="K35" s="360">
        <f t="shared" si="1"/>
        <v>345.29</v>
      </c>
      <c r="L35" s="329">
        <f t="shared" si="4"/>
        <v>345.29</v>
      </c>
      <c r="M35" s="329">
        <f t="shared" si="5"/>
        <v>4074.71</v>
      </c>
      <c r="N35" s="330"/>
    </row>
    <row r="36" spans="1:16" s="29" customFormat="1" ht="30" customHeight="1" x14ac:dyDescent="0.2">
      <c r="A36" s="5"/>
      <c r="B36" s="324">
        <v>29</v>
      </c>
      <c r="C36" s="325" t="s">
        <v>361</v>
      </c>
      <c r="D36" s="326" t="s">
        <v>443</v>
      </c>
      <c r="E36" s="95" t="s">
        <v>54</v>
      </c>
      <c r="F36" s="361"/>
      <c r="G36" s="64">
        <v>15</v>
      </c>
      <c r="H36" s="331">
        <v>104.733</v>
      </c>
      <c r="I36" s="328">
        <f t="shared" si="2"/>
        <v>1571</v>
      </c>
      <c r="J36" s="359">
        <f t="shared" si="7"/>
        <v>116.58</v>
      </c>
      <c r="K36" s="360">
        <f t="shared" si="1"/>
        <v>0</v>
      </c>
      <c r="L36" s="329">
        <f t="shared" si="4"/>
        <v>0</v>
      </c>
      <c r="M36" s="329">
        <f t="shared" si="5"/>
        <v>1687.58</v>
      </c>
      <c r="N36" s="330"/>
    </row>
    <row r="37" spans="1:16" ht="24" customHeight="1" x14ac:dyDescent="0.2">
      <c r="B37" s="137"/>
      <c r="C37" s="39"/>
      <c r="E37" s="136"/>
      <c r="F37" s="333"/>
      <c r="G37" s="333"/>
      <c r="H37" s="333"/>
      <c r="I37" s="334"/>
      <c r="J37" s="335"/>
      <c r="K37" s="334"/>
      <c r="L37" s="334"/>
      <c r="M37" s="334"/>
      <c r="N37" s="336"/>
    </row>
    <row r="38" spans="1:16" ht="24" customHeight="1" thickBot="1" x14ac:dyDescent="0.25">
      <c r="B38" s="458" t="s">
        <v>17</v>
      </c>
      <c r="C38" s="428"/>
      <c r="D38" s="428"/>
      <c r="E38" s="428"/>
      <c r="F38" s="428"/>
      <c r="G38" s="428"/>
      <c r="H38" s="429"/>
      <c r="I38" s="337">
        <f>SUM(I8:I37)</f>
        <v>149959</v>
      </c>
      <c r="J38" s="338">
        <f>SUM(J8:J37)</f>
        <v>116.58</v>
      </c>
      <c r="K38" s="337">
        <f>SUM(K8:K37)</f>
        <v>12053.770000000002</v>
      </c>
      <c r="L38" s="337">
        <f>SUM(L8:L37)</f>
        <v>12053.770000000002</v>
      </c>
      <c r="M38" s="337">
        <f>SUM(M8:M36)</f>
        <v>138021.81</v>
      </c>
      <c r="N38" s="339"/>
    </row>
    <row r="39" spans="1:16" ht="24" customHeight="1" thickTop="1" x14ac:dyDescent="0.2">
      <c r="B39" s="137"/>
      <c r="C39" s="39"/>
      <c r="E39" s="136"/>
      <c r="F39" s="333"/>
      <c r="G39" s="333"/>
      <c r="H39" s="333"/>
      <c r="I39" s="333"/>
      <c r="J39" s="340"/>
      <c r="K39" s="333"/>
      <c r="L39" s="341"/>
      <c r="M39" s="333"/>
      <c r="N39" s="342"/>
    </row>
    <row r="40" spans="1:16" x14ac:dyDescent="0.2">
      <c r="B40" s="91"/>
      <c r="M40" s="343"/>
      <c r="N40" s="126"/>
    </row>
    <row r="41" spans="1:16" x14ac:dyDescent="0.2">
      <c r="B41" s="91"/>
      <c r="N41" s="126"/>
    </row>
    <row r="42" spans="1:16" x14ac:dyDescent="0.2">
      <c r="B42" s="91"/>
      <c r="N42" s="126"/>
    </row>
    <row r="43" spans="1:16" ht="18.75" customHeight="1" x14ac:dyDescent="0.2">
      <c r="B43" s="91"/>
      <c r="D43" s="90" t="s">
        <v>481</v>
      </c>
      <c r="E43" s="5"/>
      <c r="F43" s="5"/>
      <c r="G43" s="5"/>
      <c r="H43" s="5"/>
      <c r="I43" s="32"/>
      <c r="J43" s="32"/>
      <c r="K43" s="5"/>
      <c r="L43" s="412" t="s">
        <v>303</v>
      </c>
      <c r="M43" s="412"/>
      <c r="N43" s="459"/>
    </row>
    <row r="44" spans="1:16" ht="19.5" customHeight="1" thickBot="1" x14ac:dyDescent="0.25">
      <c r="B44" s="92"/>
      <c r="C44" s="93"/>
      <c r="D44" s="456" t="s">
        <v>133</v>
      </c>
      <c r="E44" s="456"/>
      <c r="F44" s="93"/>
      <c r="G44" s="93"/>
      <c r="H44" s="93"/>
      <c r="I44" s="94"/>
      <c r="J44" s="94"/>
      <c r="K44" s="93"/>
      <c r="L44" s="404" t="s">
        <v>304</v>
      </c>
      <c r="M44" s="404"/>
      <c r="N44" s="405"/>
    </row>
    <row r="46" spans="1:16" x14ac:dyDescent="0.2">
      <c r="P46" s="315">
        <v>233266.39000000004</v>
      </c>
    </row>
    <row r="47" spans="1:16" x14ac:dyDescent="0.2">
      <c r="L47" s="25" t="s">
        <v>91</v>
      </c>
      <c r="M47" s="343">
        <f>M8++M11+M14+M15+M17+M19+M20+M22+M23+M27+M28+M29+M30+M32+M33+M35+M36+M34</f>
        <v>83944.120000000024</v>
      </c>
    </row>
    <row r="49" spans="12:13" x14ac:dyDescent="0.2">
      <c r="L49" s="25" t="s">
        <v>92</v>
      </c>
      <c r="M49" s="343">
        <f>M9+M10+M12+M13+M16+M18+M21+M24+M25+M26+M31</f>
        <v>54077.69000000001</v>
      </c>
    </row>
    <row r="50" spans="12:13" x14ac:dyDescent="0.2">
      <c r="M50" s="343">
        <f>M49+M47</f>
        <v>138021.81000000003</v>
      </c>
    </row>
    <row r="52" spans="12:13" x14ac:dyDescent="0.2">
      <c r="L52" s="25" t="s">
        <v>312</v>
      </c>
      <c r="M52" s="343">
        <f>M50-M38</f>
        <v>0</v>
      </c>
    </row>
  </sheetData>
  <autoFilter ref="F1:F52" xr:uid="{00000000-0009-0000-0000-000006000000}"/>
  <mergeCells count="8">
    <mergeCell ref="D44:E44"/>
    <mergeCell ref="L44:N44"/>
    <mergeCell ref="E2:K2"/>
    <mergeCell ref="E5:K5"/>
    <mergeCell ref="L5:N5"/>
    <mergeCell ref="D6:K6"/>
    <mergeCell ref="B38:H38"/>
    <mergeCell ref="L43:N43"/>
  </mergeCells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GridLines="0" tabSelected="1" zoomScale="87" zoomScaleNormal="87" workbookViewId="0">
      <selection activeCell="F8" sqref="F8:F29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51" customWidth="1"/>
    <col min="5" max="5" width="12.85546875" style="355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48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5"/>
  </cols>
  <sheetData>
    <row r="1" spans="1:14" ht="14.25" x14ac:dyDescent="0.2">
      <c r="B1" s="270"/>
      <c r="C1" s="318"/>
      <c r="D1" s="129"/>
      <c r="E1" s="130"/>
      <c r="F1" s="131"/>
      <c r="G1" s="131"/>
      <c r="H1" s="131"/>
      <c r="I1" s="131"/>
      <c r="J1" s="319"/>
      <c r="K1" s="131"/>
      <c r="L1" s="131"/>
      <c r="M1" s="131"/>
      <c r="N1" s="132"/>
    </row>
    <row r="2" spans="1:14" ht="30" customHeight="1" x14ac:dyDescent="0.2">
      <c r="B2" s="320"/>
      <c r="C2" s="321"/>
      <c r="D2" s="77"/>
      <c r="E2" s="384" t="s">
        <v>308</v>
      </c>
      <c r="F2" s="384"/>
      <c r="G2" s="384"/>
      <c r="H2" s="384"/>
      <c r="I2" s="384"/>
      <c r="J2" s="384"/>
      <c r="K2" s="384"/>
      <c r="L2" s="134"/>
      <c r="M2" s="134"/>
      <c r="N2" s="135"/>
    </row>
    <row r="3" spans="1:14" ht="30" customHeight="1" x14ac:dyDescent="0.2">
      <c r="B3" s="320"/>
      <c r="C3" s="321"/>
      <c r="D3" s="77"/>
      <c r="E3" s="136"/>
      <c r="F3" s="134"/>
      <c r="G3" s="134"/>
      <c r="H3" s="134"/>
      <c r="I3" s="134"/>
      <c r="J3" s="322"/>
      <c r="K3" s="134"/>
      <c r="L3" s="134"/>
      <c r="M3" s="134"/>
      <c r="N3" s="135"/>
    </row>
    <row r="4" spans="1:14" ht="30" customHeight="1" x14ac:dyDescent="0.2">
      <c r="B4" s="320"/>
      <c r="C4" s="321"/>
      <c r="D4" s="77"/>
      <c r="E4" s="384" t="s">
        <v>444</v>
      </c>
      <c r="F4" s="384"/>
      <c r="G4" s="384"/>
      <c r="H4" s="384"/>
      <c r="I4" s="384"/>
      <c r="J4" s="384"/>
      <c r="K4" s="384"/>
      <c r="L4" s="134"/>
      <c r="M4" s="134"/>
      <c r="N4" s="135"/>
    </row>
    <row r="5" spans="1:14" ht="31.5" customHeight="1" x14ac:dyDescent="0.2">
      <c r="B5" s="137"/>
      <c r="C5" s="39"/>
      <c r="D5" s="77"/>
      <c r="E5" s="358" t="s">
        <v>489</v>
      </c>
      <c r="F5" s="357"/>
      <c r="G5" s="357"/>
      <c r="H5" s="357"/>
      <c r="I5" s="357"/>
      <c r="J5" s="357"/>
      <c r="K5" s="357"/>
      <c r="L5" s="386"/>
      <c r="M5" s="386"/>
      <c r="N5" s="387"/>
    </row>
    <row r="6" spans="1:14" ht="30" customHeight="1" thickBot="1" x14ac:dyDescent="0.25">
      <c r="B6" s="138"/>
      <c r="C6" s="47"/>
      <c r="D6" s="461" t="s">
        <v>445</v>
      </c>
      <c r="E6" s="461"/>
      <c r="F6" s="461"/>
      <c r="G6" s="461"/>
      <c r="H6" s="461"/>
      <c r="I6" s="461"/>
      <c r="J6" s="461"/>
      <c r="K6" s="139"/>
      <c r="L6" s="139"/>
      <c r="M6" s="139"/>
      <c r="N6" s="140"/>
    </row>
    <row r="7" spans="1:14" ht="41.25" customHeight="1" x14ac:dyDescent="0.2">
      <c r="B7" s="103" t="s">
        <v>301</v>
      </c>
      <c r="C7" s="207" t="s">
        <v>361</v>
      </c>
      <c r="D7" s="104" t="s">
        <v>14</v>
      </c>
      <c r="E7" s="104" t="s">
        <v>295</v>
      </c>
      <c r="F7" s="104" t="s">
        <v>296</v>
      </c>
      <c r="G7" s="104" t="s">
        <v>299</v>
      </c>
      <c r="H7" s="104" t="s">
        <v>300</v>
      </c>
      <c r="I7" s="105" t="s">
        <v>297</v>
      </c>
      <c r="J7" s="323" t="s">
        <v>313</v>
      </c>
      <c r="K7" s="104" t="s">
        <v>314</v>
      </c>
      <c r="L7" s="106" t="s">
        <v>298</v>
      </c>
      <c r="M7" s="106" t="s">
        <v>307</v>
      </c>
      <c r="N7" s="121" t="s">
        <v>306</v>
      </c>
    </row>
    <row r="8" spans="1:14" s="29" customFormat="1" ht="30" customHeight="1" x14ac:dyDescent="0.2">
      <c r="A8" s="5"/>
      <c r="B8" s="324">
        <v>1</v>
      </c>
      <c r="C8" s="325"/>
      <c r="D8" s="254" t="s">
        <v>446</v>
      </c>
      <c r="E8" s="344" t="s">
        <v>35</v>
      </c>
      <c r="F8" s="38"/>
      <c r="G8" s="245">
        <v>15</v>
      </c>
      <c r="H8" s="345">
        <v>550</v>
      </c>
      <c r="I8" s="346">
        <f t="shared" ref="I8:I29" si="0">ROUND(G8*H8,2)</f>
        <v>8250</v>
      </c>
      <c r="J8" s="347">
        <v>0</v>
      </c>
      <c r="K8" s="345">
        <f t="shared" ref="K8:K29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5">
        <f>K8</f>
        <v>939.18</v>
      </c>
      <c r="M8" s="345">
        <f>I8+J8-K8</f>
        <v>7310.82</v>
      </c>
      <c r="N8" s="348"/>
    </row>
    <row r="9" spans="1:14" s="29" customFormat="1" ht="30" customHeight="1" x14ac:dyDescent="0.2">
      <c r="A9" s="5"/>
      <c r="B9" s="324">
        <v>2</v>
      </c>
      <c r="C9" s="325" t="s">
        <v>361</v>
      </c>
      <c r="D9" s="254" t="s">
        <v>447</v>
      </c>
      <c r="E9" s="254" t="s">
        <v>448</v>
      </c>
      <c r="F9" s="245"/>
      <c r="G9" s="245">
        <v>15</v>
      </c>
      <c r="H9" s="345">
        <v>381.6</v>
      </c>
      <c r="I9" s="346">
        <f t="shared" si="0"/>
        <v>5724</v>
      </c>
      <c r="J9" s="347">
        <v>0</v>
      </c>
      <c r="K9" s="345">
        <f t="shared" si="1"/>
        <v>478.25</v>
      </c>
      <c r="L9" s="345">
        <f t="shared" ref="L9:L27" si="2">K9</f>
        <v>478.25</v>
      </c>
      <c r="M9" s="345">
        <f t="shared" ref="M9:M27" si="3">I9+J9-K9</f>
        <v>5245.75</v>
      </c>
      <c r="N9" s="348"/>
    </row>
    <row r="10" spans="1:14" s="29" customFormat="1" ht="30" customHeight="1" x14ac:dyDescent="0.2">
      <c r="A10" s="5"/>
      <c r="B10" s="324">
        <v>3</v>
      </c>
      <c r="C10" s="325" t="s">
        <v>361</v>
      </c>
      <c r="D10" s="254" t="s">
        <v>449</v>
      </c>
      <c r="E10" s="254" t="s">
        <v>448</v>
      </c>
      <c r="F10" s="38"/>
      <c r="G10" s="245">
        <v>15</v>
      </c>
      <c r="H10" s="345">
        <v>381.6</v>
      </c>
      <c r="I10" s="346">
        <f t="shared" si="0"/>
        <v>5724</v>
      </c>
      <c r="J10" s="347">
        <v>0</v>
      </c>
      <c r="K10" s="345">
        <f t="shared" si="1"/>
        <v>478.25</v>
      </c>
      <c r="L10" s="345">
        <f t="shared" si="2"/>
        <v>478.25</v>
      </c>
      <c r="M10" s="345">
        <f t="shared" si="3"/>
        <v>5245.75</v>
      </c>
      <c r="N10" s="348"/>
    </row>
    <row r="11" spans="1:14" s="29" customFormat="1" ht="30" customHeight="1" x14ac:dyDescent="0.2">
      <c r="A11" s="5"/>
      <c r="B11" s="324">
        <v>4</v>
      </c>
      <c r="C11" s="325" t="s">
        <v>361</v>
      </c>
      <c r="D11" s="254" t="s">
        <v>450</v>
      </c>
      <c r="E11" s="254" t="s">
        <v>40</v>
      </c>
      <c r="F11" s="38"/>
      <c r="G11" s="245">
        <v>15</v>
      </c>
      <c r="H11" s="345">
        <v>360.8664</v>
      </c>
      <c r="I11" s="346">
        <f>ROUND(G11*H11,2)</f>
        <v>5413</v>
      </c>
      <c r="J11" s="347">
        <v>0</v>
      </c>
      <c r="K11" s="345">
        <f t="shared" si="1"/>
        <v>432.47</v>
      </c>
      <c r="L11" s="345">
        <f>K11</f>
        <v>432.47</v>
      </c>
      <c r="M11" s="345">
        <f>I11+J11-K11</f>
        <v>4980.53</v>
      </c>
      <c r="N11" s="348"/>
    </row>
    <row r="12" spans="1:14" s="29" customFormat="1" ht="30" customHeight="1" x14ac:dyDescent="0.2">
      <c r="A12" s="5"/>
      <c r="B12" s="324">
        <v>5</v>
      </c>
      <c r="C12" s="325" t="s">
        <v>361</v>
      </c>
      <c r="D12" s="254" t="s">
        <v>485</v>
      </c>
      <c r="E12" s="254" t="s">
        <v>486</v>
      </c>
      <c r="F12" s="38"/>
      <c r="G12" s="245">
        <v>10</v>
      </c>
      <c r="H12" s="345">
        <v>360.8664</v>
      </c>
      <c r="I12" s="346">
        <f>ROUND(G12*H12,2)</f>
        <v>3608.66</v>
      </c>
      <c r="J12" s="347">
        <v>0</v>
      </c>
      <c r="K12" s="345">
        <f t="shared" ref="K12" si="4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288.31</v>
      </c>
      <c r="L12" s="345">
        <f>K12</f>
        <v>288.31</v>
      </c>
      <c r="M12" s="345">
        <f>I12+J12-K12</f>
        <v>3320.35</v>
      </c>
      <c r="N12" s="348"/>
    </row>
    <row r="13" spans="1:14" s="29" customFormat="1" ht="30" customHeight="1" x14ac:dyDescent="0.2">
      <c r="A13" s="5"/>
      <c r="B13" s="324">
        <v>6</v>
      </c>
      <c r="C13" s="325"/>
      <c r="D13" s="254" t="s">
        <v>451</v>
      </c>
      <c r="E13" s="254" t="s">
        <v>452</v>
      </c>
      <c r="F13" s="38"/>
      <c r="G13" s="245">
        <v>15</v>
      </c>
      <c r="H13" s="345">
        <v>360.8664</v>
      </c>
      <c r="I13" s="346">
        <f t="shared" si="0"/>
        <v>5413</v>
      </c>
      <c r="J13" s="347">
        <f t="shared" ref="J13:J27" si="5"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45">
        <f t="shared" si="1"/>
        <v>432.47</v>
      </c>
      <c r="L13" s="345">
        <f t="shared" si="2"/>
        <v>432.47</v>
      </c>
      <c r="M13" s="345">
        <f t="shared" si="3"/>
        <v>4980.53</v>
      </c>
      <c r="N13" s="348"/>
    </row>
    <row r="14" spans="1:14" ht="30" customHeight="1" x14ac:dyDescent="0.2">
      <c r="B14" s="324">
        <v>7</v>
      </c>
      <c r="C14" s="325" t="s">
        <v>361</v>
      </c>
      <c r="D14" s="254" t="s">
        <v>453</v>
      </c>
      <c r="E14" s="254" t="s">
        <v>452</v>
      </c>
      <c r="F14" s="38"/>
      <c r="G14" s="245">
        <v>15</v>
      </c>
      <c r="H14" s="345">
        <v>360.8664</v>
      </c>
      <c r="I14" s="346">
        <f t="shared" si="0"/>
        <v>5413</v>
      </c>
      <c r="J14" s="347">
        <f t="shared" si="5"/>
        <v>0</v>
      </c>
      <c r="K14" s="345">
        <f t="shared" si="1"/>
        <v>432.47</v>
      </c>
      <c r="L14" s="345">
        <f t="shared" si="2"/>
        <v>432.47</v>
      </c>
      <c r="M14" s="345">
        <f t="shared" si="3"/>
        <v>4980.53</v>
      </c>
      <c r="N14" s="348"/>
    </row>
    <row r="15" spans="1:14" ht="30" customHeight="1" x14ac:dyDescent="0.2">
      <c r="B15" s="324">
        <v>8</v>
      </c>
      <c r="C15" s="325" t="s">
        <v>361</v>
      </c>
      <c r="D15" s="254" t="s">
        <v>454</v>
      </c>
      <c r="E15" s="254" t="s">
        <v>452</v>
      </c>
      <c r="F15" s="38"/>
      <c r="G15" s="245">
        <v>15</v>
      </c>
      <c r="H15" s="345">
        <v>360.8664</v>
      </c>
      <c r="I15" s="346">
        <f t="shared" si="0"/>
        <v>5413</v>
      </c>
      <c r="J15" s="347">
        <f t="shared" si="5"/>
        <v>0</v>
      </c>
      <c r="K15" s="345">
        <f t="shared" si="1"/>
        <v>432.47</v>
      </c>
      <c r="L15" s="345">
        <f t="shared" si="2"/>
        <v>432.47</v>
      </c>
      <c r="M15" s="345">
        <f t="shared" si="3"/>
        <v>4980.53</v>
      </c>
      <c r="N15" s="348"/>
    </row>
    <row r="16" spans="1:14" ht="30" customHeight="1" x14ac:dyDescent="0.2">
      <c r="B16" s="324">
        <v>9</v>
      </c>
      <c r="C16" s="325"/>
      <c r="D16" s="254" t="s">
        <v>455</v>
      </c>
      <c r="E16" s="254" t="s">
        <v>452</v>
      </c>
      <c r="F16" s="245"/>
      <c r="G16" s="245">
        <v>15</v>
      </c>
      <c r="H16" s="345">
        <v>360.8664</v>
      </c>
      <c r="I16" s="346">
        <f t="shared" si="0"/>
        <v>5413</v>
      </c>
      <c r="J16" s="347">
        <f t="shared" si="5"/>
        <v>0</v>
      </c>
      <c r="K16" s="345">
        <f t="shared" si="1"/>
        <v>432.47</v>
      </c>
      <c r="L16" s="345">
        <f t="shared" si="2"/>
        <v>432.47</v>
      </c>
      <c r="M16" s="345">
        <f t="shared" si="3"/>
        <v>4980.53</v>
      </c>
      <c r="N16" s="348"/>
    </row>
    <row r="17" spans="1:14" ht="30" customHeight="1" x14ac:dyDescent="0.2">
      <c r="B17" s="324">
        <v>10</v>
      </c>
      <c r="C17" s="325" t="s">
        <v>361</v>
      </c>
      <c r="D17" s="254" t="s">
        <v>456</v>
      </c>
      <c r="E17" s="254" t="s">
        <v>452</v>
      </c>
      <c r="F17" s="38"/>
      <c r="G17" s="245">
        <v>15</v>
      </c>
      <c r="H17" s="345">
        <v>360.8664</v>
      </c>
      <c r="I17" s="346">
        <f t="shared" si="0"/>
        <v>5413</v>
      </c>
      <c r="J17" s="347">
        <f t="shared" si="5"/>
        <v>0</v>
      </c>
      <c r="K17" s="345">
        <f t="shared" si="1"/>
        <v>432.47</v>
      </c>
      <c r="L17" s="345">
        <f t="shared" si="2"/>
        <v>432.47</v>
      </c>
      <c r="M17" s="345">
        <f t="shared" si="3"/>
        <v>4980.53</v>
      </c>
      <c r="N17" s="348"/>
    </row>
    <row r="18" spans="1:14" ht="30" customHeight="1" x14ac:dyDescent="0.2">
      <c r="B18" s="324">
        <v>11</v>
      </c>
      <c r="C18" s="325"/>
      <c r="D18" s="254" t="s">
        <v>457</v>
      </c>
      <c r="E18" s="254" t="s">
        <v>452</v>
      </c>
      <c r="F18" s="38"/>
      <c r="G18" s="245">
        <v>15</v>
      </c>
      <c r="H18" s="345">
        <v>360.8664</v>
      </c>
      <c r="I18" s="346">
        <f>ROUND(G18*H18,2)</f>
        <v>5413</v>
      </c>
      <c r="J18" s="347">
        <f t="shared" si="5"/>
        <v>0</v>
      </c>
      <c r="K18" s="345">
        <f t="shared" si="1"/>
        <v>432.47</v>
      </c>
      <c r="L18" s="345">
        <f t="shared" si="2"/>
        <v>432.47</v>
      </c>
      <c r="M18" s="345">
        <f t="shared" si="3"/>
        <v>4980.53</v>
      </c>
      <c r="N18" s="348"/>
    </row>
    <row r="19" spans="1:14" ht="30" customHeight="1" x14ac:dyDescent="0.2">
      <c r="B19" s="324">
        <v>12</v>
      </c>
      <c r="C19" s="325"/>
      <c r="D19" s="254" t="s">
        <v>458</v>
      </c>
      <c r="E19" s="254" t="s">
        <v>452</v>
      </c>
      <c r="F19" s="38"/>
      <c r="G19" s="245">
        <v>15</v>
      </c>
      <c r="H19" s="345">
        <v>360.8664</v>
      </c>
      <c r="I19" s="346">
        <f t="shared" si="0"/>
        <v>5413</v>
      </c>
      <c r="J19" s="347">
        <f t="shared" si="5"/>
        <v>0</v>
      </c>
      <c r="K19" s="345">
        <f t="shared" si="1"/>
        <v>432.47</v>
      </c>
      <c r="L19" s="345">
        <f t="shared" si="2"/>
        <v>432.47</v>
      </c>
      <c r="M19" s="345">
        <f>I19+J19-K19</f>
        <v>4980.53</v>
      </c>
      <c r="N19" s="348"/>
    </row>
    <row r="20" spans="1:14" ht="30" customHeight="1" x14ac:dyDescent="0.2">
      <c r="B20" s="324">
        <v>13</v>
      </c>
      <c r="C20" s="325"/>
      <c r="D20" s="254" t="s">
        <v>459</v>
      </c>
      <c r="E20" s="254" t="s">
        <v>452</v>
      </c>
      <c r="F20" s="38"/>
      <c r="G20" s="245">
        <v>15</v>
      </c>
      <c r="H20" s="345">
        <v>360.8664</v>
      </c>
      <c r="I20" s="346">
        <f t="shared" si="0"/>
        <v>5413</v>
      </c>
      <c r="J20" s="347">
        <f t="shared" si="5"/>
        <v>0</v>
      </c>
      <c r="K20" s="345">
        <f t="shared" si="1"/>
        <v>432.47</v>
      </c>
      <c r="L20" s="345">
        <f t="shared" si="2"/>
        <v>432.47</v>
      </c>
      <c r="M20" s="345">
        <f t="shared" si="3"/>
        <v>4980.53</v>
      </c>
      <c r="N20" s="348"/>
    </row>
    <row r="21" spans="1:14" ht="30" customHeight="1" x14ac:dyDescent="0.2">
      <c r="B21" s="324">
        <v>14</v>
      </c>
      <c r="C21" s="325"/>
      <c r="D21" s="256" t="s">
        <v>460</v>
      </c>
      <c r="E21" s="254" t="s">
        <v>461</v>
      </c>
      <c r="F21" s="38"/>
      <c r="G21" s="245">
        <v>15</v>
      </c>
      <c r="H21" s="345">
        <v>395.53300000000002</v>
      </c>
      <c r="I21" s="346">
        <f t="shared" si="0"/>
        <v>5933</v>
      </c>
      <c r="J21" s="347">
        <f t="shared" si="5"/>
        <v>0</v>
      </c>
      <c r="K21" s="345">
        <f t="shared" si="1"/>
        <v>511.69</v>
      </c>
      <c r="L21" s="345">
        <f t="shared" si="2"/>
        <v>511.69</v>
      </c>
      <c r="M21" s="345">
        <f t="shared" si="3"/>
        <v>5421.31</v>
      </c>
      <c r="N21" s="348"/>
    </row>
    <row r="22" spans="1:14" ht="30" customHeight="1" x14ac:dyDescent="0.2">
      <c r="B22" s="324">
        <v>15</v>
      </c>
      <c r="C22" s="325" t="s">
        <v>361</v>
      </c>
      <c r="D22" s="256" t="s">
        <v>478</v>
      </c>
      <c r="E22" s="254" t="s">
        <v>452</v>
      </c>
      <c r="F22" s="38"/>
      <c r="G22" s="245">
        <v>15</v>
      </c>
      <c r="H22" s="345">
        <v>360.8664</v>
      </c>
      <c r="I22" s="346">
        <f t="shared" si="0"/>
        <v>5413</v>
      </c>
      <c r="J22" s="347">
        <f t="shared" si="5"/>
        <v>0</v>
      </c>
      <c r="K22" s="345">
        <f t="shared" si="1"/>
        <v>432.47</v>
      </c>
      <c r="L22" s="345">
        <f t="shared" si="2"/>
        <v>432.47</v>
      </c>
      <c r="M22" s="345">
        <f t="shared" si="3"/>
        <v>4980.53</v>
      </c>
      <c r="N22" s="348"/>
    </row>
    <row r="23" spans="1:14" ht="30" customHeight="1" x14ac:dyDescent="0.2">
      <c r="B23" s="324">
        <v>16</v>
      </c>
      <c r="C23" s="325"/>
      <c r="D23" s="256" t="s">
        <v>462</v>
      </c>
      <c r="E23" s="254" t="s">
        <v>452</v>
      </c>
      <c r="F23" s="38"/>
      <c r="G23" s="245">
        <v>15</v>
      </c>
      <c r="H23" s="345">
        <v>360.8664</v>
      </c>
      <c r="I23" s="346">
        <f t="shared" si="0"/>
        <v>5413</v>
      </c>
      <c r="J23" s="347">
        <f t="shared" si="5"/>
        <v>0</v>
      </c>
      <c r="K23" s="345">
        <f t="shared" si="1"/>
        <v>432.47</v>
      </c>
      <c r="L23" s="345">
        <f t="shared" si="2"/>
        <v>432.47</v>
      </c>
      <c r="M23" s="345">
        <f t="shared" si="3"/>
        <v>4980.53</v>
      </c>
      <c r="N23" s="348"/>
    </row>
    <row r="24" spans="1:14" ht="30" customHeight="1" x14ac:dyDescent="0.2">
      <c r="B24" s="324">
        <v>17</v>
      </c>
      <c r="C24" s="325"/>
      <c r="D24" s="256" t="s">
        <v>463</v>
      </c>
      <c r="E24" s="254" t="s">
        <v>452</v>
      </c>
      <c r="F24" s="38"/>
      <c r="G24" s="245">
        <v>15</v>
      </c>
      <c r="H24" s="345">
        <v>360.8664</v>
      </c>
      <c r="I24" s="346">
        <f t="shared" si="0"/>
        <v>5413</v>
      </c>
      <c r="J24" s="347">
        <f t="shared" si="5"/>
        <v>0</v>
      </c>
      <c r="K24" s="345">
        <f t="shared" si="1"/>
        <v>432.47</v>
      </c>
      <c r="L24" s="345">
        <f t="shared" si="2"/>
        <v>432.47</v>
      </c>
      <c r="M24" s="345">
        <f>I24+J24-K24</f>
        <v>4980.53</v>
      </c>
      <c r="N24" s="348"/>
    </row>
    <row r="25" spans="1:14" ht="36.6" customHeight="1" x14ac:dyDescent="0.2">
      <c r="B25" s="324">
        <v>18</v>
      </c>
      <c r="C25" s="325"/>
      <c r="D25" s="256" t="s">
        <v>464</v>
      </c>
      <c r="E25" s="254" t="s">
        <v>452</v>
      </c>
      <c r="F25" s="38"/>
      <c r="G25" s="245">
        <v>15</v>
      </c>
      <c r="H25" s="345">
        <v>340</v>
      </c>
      <c r="I25" s="346">
        <f t="shared" si="0"/>
        <v>5100</v>
      </c>
      <c r="J25" s="347">
        <v>0</v>
      </c>
      <c r="K25" s="345">
        <f t="shared" si="1"/>
        <v>398.42</v>
      </c>
      <c r="L25" s="345">
        <v>377.09</v>
      </c>
      <c r="M25" s="345">
        <v>4526.91</v>
      </c>
      <c r="N25" s="348"/>
    </row>
    <row r="26" spans="1:14" ht="30" customHeight="1" x14ac:dyDescent="0.2">
      <c r="B26" s="324">
        <v>19</v>
      </c>
      <c r="C26" s="325"/>
      <c r="D26" s="256" t="s">
        <v>465</v>
      </c>
      <c r="E26" s="254" t="s">
        <v>466</v>
      </c>
      <c r="F26" s="38"/>
      <c r="G26" s="245">
        <v>15</v>
      </c>
      <c r="H26" s="345">
        <v>340</v>
      </c>
      <c r="I26" s="346">
        <f t="shared" si="0"/>
        <v>5100</v>
      </c>
      <c r="J26" s="347">
        <f t="shared" si="5"/>
        <v>0</v>
      </c>
      <c r="K26" s="345">
        <f t="shared" si="1"/>
        <v>398.42</v>
      </c>
      <c r="L26" s="345">
        <f t="shared" si="2"/>
        <v>398.42</v>
      </c>
      <c r="M26" s="345">
        <f t="shared" si="3"/>
        <v>4701.58</v>
      </c>
      <c r="N26" s="348"/>
    </row>
    <row r="27" spans="1:14" ht="29.45" customHeight="1" x14ac:dyDescent="0.2">
      <c r="B27" s="324">
        <v>20</v>
      </c>
      <c r="C27" s="325"/>
      <c r="D27" s="256" t="s">
        <v>467</v>
      </c>
      <c r="E27" s="254" t="s">
        <v>466</v>
      </c>
      <c r="F27" s="38"/>
      <c r="G27" s="245">
        <v>15</v>
      </c>
      <c r="H27" s="345">
        <v>340</v>
      </c>
      <c r="I27" s="346">
        <f t="shared" si="0"/>
        <v>5100</v>
      </c>
      <c r="J27" s="347">
        <f t="shared" si="5"/>
        <v>0</v>
      </c>
      <c r="K27" s="345">
        <f t="shared" si="1"/>
        <v>398.42</v>
      </c>
      <c r="L27" s="345">
        <f t="shared" si="2"/>
        <v>398.42</v>
      </c>
      <c r="M27" s="345">
        <f t="shared" si="3"/>
        <v>4701.58</v>
      </c>
      <c r="N27" s="348"/>
    </row>
    <row r="28" spans="1:14" ht="29.45" customHeight="1" x14ac:dyDescent="0.2">
      <c r="B28" s="324">
        <v>21</v>
      </c>
      <c r="C28" s="325" t="s">
        <v>361</v>
      </c>
      <c r="D28" s="256" t="s">
        <v>468</v>
      </c>
      <c r="E28" s="254" t="s">
        <v>466</v>
      </c>
      <c r="F28" s="38"/>
      <c r="G28" s="245">
        <v>15</v>
      </c>
      <c r="H28" s="345">
        <v>340</v>
      </c>
      <c r="I28" s="346">
        <f t="shared" si="0"/>
        <v>5100</v>
      </c>
      <c r="J28" s="347">
        <v>0</v>
      </c>
      <c r="K28" s="345">
        <f t="shared" si="1"/>
        <v>398.42</v>
      </c>
      <c r="L28" s="345">
        <f>K28</f>
        <v>398.42</v>
      </c>
      <c r="M28" s="345">
        <f>I28+J28-K28</f>
        <v>4701.58</v>
      </c>
      <c r="N28" s="348"/>
    </row>
    <row r="29" spans="1:14" ht="29.45" customHeight="1" x14ac:dyDescent="0.2">
      <c r="B29" s="324">
        <v>22</v>
      </c>
      <c r="C29" s="325" t="s">
        <v>361</v>
      </c>
      <c r="D29" s="256" t="s">
        <v>469</v>
      </c>
      <c r="E29" s="254" t="s">
        <v>466</v>
      </c>
      <c r="F29" s="38"/>
      <c r="G29" s="245">
        <v>15</v>
      </c>
      <c r="H29" s="345">
        <v>340</v>
      </c>
      <c r="I29" s="346">
        <f t="shared" si="0"/>
        <v>5100</v>
      </c>
      <c r="J29" s="347">
        <v>0</v>
      </c>
      <c r="K29" s="345">
        <f t="shared" si="1"/>
        <v>398.42</v>
      </c>
      <c r="L29" s="345">
        <f>K29</f>
        <v>398.42</v>
      </c>
      <c r="M29" s="345">
        <f>I29+J29-K29</f>
        <v>4701.58</v>
      </c>
      <c r="N29" s="348"/>
    </row>
    <row r="30" spans="1:14" ht="18" customHeight="1" x14ac:dyDescent="0.2">
      <c r="B30" s="462"/>
      <c r="C30" s="463"/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4"/>
    </row>
    <row r="31" spans="1:14" ht="18" customHeight="1" x14ac:dyDescent="0.2">
      <c r="B31" s="460" t="s">
        <v>17</v>
      </c>
      <c r="C31" s="429"/>
      <c r="D31" s="435"/>
      <c r="E31" s="435"/>
      <c r="F31" s="435"/>
      <c r="G31" s="435"/>
      <c r="H31" s="435"/>
      <c r="I31" s="349">
        <f>SUM(I8:I29)</f>
        <v>119695.66</v>
      </c>
      <c r="J31" s="349">
        <f t="shared" ref="J31:M31" si="6">SUM(J8:J29)</f>
        <v>0</v>
      </c>
      <c r="K31" s="349">
        <f>SUM(K8:K29)</f>
        <v>9877.4200000000019</v>
      </c>
      <c r="L31" s="349">
        <f>SUM(L8:L29)</f>
        <v>9856.090000000002</v>
      </c>
      <c r="M31" s="349">
        <f t="shared" si="6"/>
        <v>109643.56999999999</v>
      </c>
      <c r="N31" s="350"/>
    </row>
    <row r="32" spans="1:14" ht="18" customHeight="1" x14ac:dyDescent="0.2">
      <c r="A32" s="5" t="s">
        <v>470</v>
      </c>
      <c r="B32" s="320"/>
      <c r="C32" s="321"/>
      <c r="E32" s="333"/>
      <c r="F32" s="134"/>
      <c r="G32" s="134"/>
      <c r="H32" s="134"/>
      <c r="I32" s="134"/>
      <c r="J32" s="322"/>
      <c r="K32" s="134"/>
      <c r="L32" s="134"/>
      <c r="M32" s="134"/>
      <c r="N32" s="352"/>
    </row>
    <row r="33" spans="1:14" ht="12" customHeight="1" x14ac:dyDescent="0.2">
      <c r="A33" s="5" t="s">
        <v>28</v>
      </c>
      <c r="B33" s="320"/>
      <c r="C33" s="321"/>
      <c r="E33" s="333"/>
      <c r="F33" s="134"/>
      <c r="G33" s="134"/>
      <c r="H33" s="134"/>
      <c r="I33" s="134"/>
      <c r="J33" s="322"/>
      <c r="K33" s="134"/>
      <c r="L33" s="134"/>
      <c r="M33" s="353"/>
      <c r="N33" s="354"/>
    </row>
    <row r="34" spans="1:14" x14ac:dyDescent="0.2">
      <c r="B34" s="91"/>
      <c r="N34" s="356"/>
    </row>
    <row r="35" spans="1:14" x14ac:dyDescent="0.2">
      <c r="B35" s="91"/>
      <c r="N35" s="126"/>
    </row>
    <row r="36" spans="1:14" x14ac:dyDescent="0.2">
      <c r="B36" s="91"/>
      <c r="N36" s="126"/>
    </row>
    <row r="37" spans="1:14" ht="13.5" x14ac:dyDescent="0.2">
      <c r="B37" s="91"/>
      <c r="D37" s="90" t="s">
        <v>481</v>
      </c>
      <c r="E37" s="5"/>
      <c r="F37" s="5"/>
      <c r="G37" s="5"/>
      <c r="H37" s="5"/>
      <c r="I37" s="32"/>
      <c r="J37" s="32"/>
      <c r="K37" s="5"/>
      <c r="L37" s="412" t="s">
        <v>303</v>
      </c>
      <c r="M37" s="412"/>
      <c r="N37" s="459"/>
    </row>
    <row r="38" spans="1:14" ht="13.5" thickBot="1" x14ac:dyDescent="0.25">
      <c r="B38" s="92"/>
      <c r="C38" s="93"/>
      <c r="D38" s="456" t="s">
        <v>133</v>
      </c>
      <c r="E38" s="456"/>
      <c r="F38" s="93"/>
      <c r="G38" s="93"/>
      <c r="H38" s="93"/>
      <c r="I38" s="94"/>
      <c r="J38" s="94"/>
      <c r="K38" s="93"/>
      <c r="L38" s="404" t="s">
        <v>304</v>
      </c>
      <c r="M38" s="404"/>
      <c r="N38" s="405"/>
    </row>
    <row r="40" spans="1:14" x14ac:dyDescent="0.2">
      <c r="L40" s="25" t="s">
        <v>91</v>
      </c>
      <c r="M40" s="147">
        <f>M9+M10+M11+M14+M15+M17+M22+M28+M29+M12</f>
        <v>48117.659999999996</v>
      </c>
    </row>
    <row r="42" spans="1:14" x14ac:dyDescent="0.2">
      <c r="L42" s="25" t="s">
        <v>92</v>
      </c>
      <c r="M42" s="147">
        <f>M8+M13+M16+M18+M19+M20+M21+M23+M24+M25+M26+M27</f>
        <v>61525.909999999989</v>
      </c>
    </row>
    <row r="43" spans="1:14" x14ac:dyDescent="0.2">
      <c r="M43" s="147">
        <f>M40+M42</f>
        <v>109643.56999999998</v>
      </c>
    </row>
    <row r="45" spans="1:14" x14ac:dyDescent="0.2">
      <c r="L45" s="25" t="s">
        <v>312</v>
      </c>
      <c r="M45" s="148">
        <f>M31-M43</f>
        <v>0</v>
      </c>
    </row>
  </sheetData>
  <mergeCells count="9">
    <mergeCell ref="B31:H31"/>
    <mergeCell ref="L37:N37"/>
    <mergeCell ref="D38:E38"/>
    <mergeCell ref="L38:N38"/>
    <mergeCell ref="E2:K2"/>
    <mergeCell ref="E4:K4"/>
    <mergeCell ref="L5:N5"/>
    <mergeCell ref="D6:J6"/>
    <mergeCell ref="B30:N30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2024-01-31T17:57:59Z</cp:lastPrinted>
  <dcterms:created xsi:type="dcterms:W3CDTF">2000-05-05T04:08:27Z</dcterms:created>
  <dcterms:modified xsi:type="dcterms:W3CDTF">2024-05-27T17:26:47Z</dcterms:modified>
</cp:coreProperties>
</file>